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userName="s177040" algorithmName="SHA-512" hashValue="BoKlP9SqOPBcUKmbZs5aZVw9U1W6b81XwCiDcAoyarsprkkOoj4gtqYqcwvZ55Z6Kn8Ex/FDL7iiZSbA4wNN+Q==" saltValue="9S0rlegK/YQl2WN02c7XGg==" spinCount="100000"/>
  <workbookPr codeName="ThisWorkbook"/>
  <mc:AlternateContent xmlns:mc="http://schemas.openxmlformats.org/markup-compatibility/2006">
    <mc:Choice Requires="x15">
      <x15ac:absPath xmlns:x15ac="http://schemas.microsoft.com/office/spreadsheetml/2010/11/ac" url="E:\FORMULA RATES SPP\Annual Update Transmission Rates AEP West SPP OpCos and Transcos\True Ups\2020 Annual Update\Filed Documents 5-26-20\"/>
    </mc:Choice>
  </mc:AlternateContent>
  <bookViews>
    <workbookView xWindow="15000" yWindow="20" windowWidth="13320" windowHeight="13170" activeTab="1"/>
  </bookViews>
  <sheets>
    <sheet name="Instructions" sheetId="33" r:id="rId1"/>
    <sheet name="Summary" sheetId="29" r:id="rId2"/>
    <sheet name="Pivot" sheetId="31" r:id="rId3"/>
    <sheet name="Transactions" sheetId="18" r:id="rId4"/>
  </sheets>
  <definedNames>
    <definedName name="_xlnm._FilterDatabase" localSheetId="3" hidden="1">Transactions!$A$15:$R$211</definedName>
    <definedName name="AS1_1999" localSheetId="3">Transactions!$C$19:$J$26</definedName>
    <definedName name="AS1_1999">#REF!</definedName>
    <definedName name="Avg_Annual_FERC_Rate">#REF!</definedName>
    <definedName name="etec">#REF!</definedName>
    <definedName name="fake">#REF!</definedName>
    <definedName name="greenbelt">#REF!</definedName>
    <definedName name="janetec">#REF!</definedName>
    <definedName name="lighthouse">#REF!</definedName>
    <definedName name="ntec">#REF!</definedName>
    <definedName name="ompa">#REF!</definedName>
    <definedName name="_xlnm.Print_Area" localSheetId="1">Summary!$C$1:$I$40</definedName>
    <definedName name="_xlnm.Print_Area" localSheetId="3">Transactions!$A$1:$R$211</definedName>
    <definedName name="_xlnm.Print_Titles" localSheetId="2">Pivot!$3:$4</definedName>
    <definedName name="_xlnm.Print_Titles" localSheetId="3">Transactions!$B:$E,Transactions!$1:$19</definedName>
    <definedName name="ss1et">#REF!</definedName>
    <definedName name="ss1gb">#REF!</definedName>
    <definedName name="ss1lh">#REF!</definedName>
    <definedName name="ss1nt">#REF!</definedName>
    <definedName name="ss1op">#REF!</definedName>
    <definedName name="ss1tx">#REF!</definedName>
    <definedName name="ss1wf">#REF!</definedName>
    <definedName name="ss2et">#REF!</definedName>
    <definedName name="ss2etc">#REF!</definedName>
    <definedName name="ss2gb">#REF!</definedName>
    <definedName name="ss2gbt">#REF!</definedName>
    <definedName name="ss2lh">#REF!</definedName>
    <definedName name="ss2lhs">#REF!</definedName>
    <definedName name="ss2nt">#REF!</definedName>
    <definedName name="ss2ntc">#REF!</definedName>
    <definedName name="ss2op">#REF!</definedName>
    <definedName name="ss2opm">#REF!</definedName>
    <definedName name="ss2tx">#REF!</definedName>
    <definedName name="ss2txl">#REF!</definedName>
    <definedName name="ss2wf">#REF!</definedName>
    <definedName name="ss3et">#REF!</definedName>
    <definedName name="ss3gb">#REF!</definedName>
    <definedName name="ss3lh">#REF!</definedName>
    <definedName name="ss3nt">#REF!</definedName>
    <definedName name="ss3op">#REF!</definedName>
    <definedName name="ss3tx">#REF!</definedName>
    <definedName name="ss3wf">#REF!</definedName>
    <definedName name="ss5et">#REF!</definedName>
    <definedName name="ss5gb">#REF!</definedName>
    <definedName name="ss5lh">#REF!</definedName>
    <definedName name="ss5nt">#REF!</definedName>
    <definedName name="ss5op">#REF!</definedName>
    <definedName name="ss5tx">#REF!</definedName>
    <definedName name="ss5wf">#REF!</definedName>
    <definedName name="ss6et">#REF!</definedName>
    <definedName name="ss6gb">#REF!</definedName>
    <definedName name="ss6lh">#REF!</definedName>
    <definedName name="ss6nt">#REF!</definedName>
    <definedName name="ss6op">#REF!</definedName>
    <definedName name="ss6tx">#REF!</definedName>
    <definedName name="ss6wf">#REF!</definedName>
    <definedName name="tbl_QtrPrimRat">#REF!</definedName>
    <definedName name="texla">#REF!</definedName>
  </definedNames>
  <calcPr calcId="162913"/>
  <pivotCaches>
    <pivotCache cacheId="1" r:id="rId5"/>
  </pivotCaches>
</workbook>
</file>

<file path=xl/calcChain.xml><?xml version="1.0" encoding="utf-8"?>
<calcChain xmlns="http://schemas.openxmlformats.org/spreadsheetml/2006/main">
  <c r="D20" i="29" l="1"/>
  <c r="J38" i="29"/>
  <c r="H62" i="18"/>
  <c r="K62" i="18" s="1"/>
  <c r="E11" i="29"/>
  <c r="E10" i="29"/>
  <c r="C5" i="29"/>
  <c r="K1" i="18"/>
  <c r="L3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F8" i="29"/>
  <c r="E20" i="29" s="1"/>
  <c r="C1" i="29"/>
  <c r="B3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C42" i="18"/>
  <c r="D38" i="18"/>
  <c r="D62" i="18" s="1"/>
  <c r="J19" i="18"/>
  <c r="D43" i="18"/>
  <c r="D67" i="18" s="1"/>
  <c r="D91" i="18" s="1"/>
  <c r="D103" i="18" s="1"/>
  <c r="D115" i="18" s="1"/>
  <c r="D127" i="18" s="1"/>
  <c r="D139" i="18" s="1"/>
  <c r="D151" i="18" s="1"/>
  <c r="D163" i="18" s="1"/>
  <c r="D175" i="18" s="1"/>
  <c r="B31" i="18"/>
  <c r="D42" i="18"/>
  <c r="D54" i="18" s="1"/>
  <c r="B30" i="18"/>
  <c r="D41" i="18"/>
  <c r="D65" i="18" s="1"/>
  <c r="B29" i="18"/>
  <c r="B28" i="18"/>
  <c r="C39" i="18"/>
  <c r="D39" i="18"/>
  <c r="D51" i="18" s="1"/>
  <c r="B27" i="18"/>
  <c r="B26" i="18"/>
  <c r="B25" i="18"/>
  <c r="B24" i="18"/>
  <c r="B23" i="18"/>
  <c r="B22" i="18"/>
  <c r="B21" i="18"/>
  <c r="D32" i="18"/>
  <c r="D44" i="18" s="1"/>
  <c r="B16" i="18"/>
  <c r="J1" i="18"/>
  <c r="C43" i="18"/>
  <c r="C55" i="18" s="1"/>
  <c r="B175" i="18"/>
  <c r="B174" i="18"/>
  <c r="B173" i="18"/>
  <c r="B172" i="18"/>
  <c r="B171" i="18"/>
  <c r="C38" i="18"/>
  <c r="C50" i="18" s="1"/>
  <c r="B170" i="18"/>
  <c r="C37" i="18"/>
  <c r="B169" i="18"/>
  <c r="B168" i="18"/>
  <c r="B167" i="18"/>
  <c r="B166" i="18"/>
  <c r="C33" i="18"/>
  <c r="C45" i="18" s="1"/>
  <c r="B165" i="18"/>
  <c r="C32" i="18"/>
  <c r="B164" i="18"/>
  <c r="B211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20" i="18"/>
  <c r="C35" i="18"/>
  <c r="C34" i="18"/>
  <c r="C46" i="18" s="1"/>
  <c r="C41" i="18"/>
  <c r="C65" i="18" s="1"/>
  <c r="D36" i="18"/>
  <c r="D48" i="18" s="1"/>
  <c r="C36" i="18"/>
  <c r="C60" i="18" s="1"/>
  <c r="C84" i="18" s="1"/>
  <c r="C96" i="18" s="1"/>
  <c r="C108" i="18" s="1"/>
  <c r="C120" i="18" s="1"/>
  <c r="C132" i="18" s="1"/>
  <c r="C144" i="18" s="1"/>
  <c r="C156" i="18" s="1"/>
  <c r="C40" i="18"/>
  <c r="C52" i="18" s="1"/>
  <c r="C53" i="18"/>
  <c r="D63" i="18"/>
  <c r="D87" i="18" s="1"/>
  <c r="D99" i="18" s="1"/>
  <c r="D111" i="18" s="1"/>
  <c r="D123" i="18" s="1"/>
  <c r="D135" i="18" s="1"/>
  <c r="D147" i="18" s="1"/>
  <c r="D159" i="18" s="1"/>
  <c r="D35" i="18"/>
  <c r="D59" i="18" s="1"/>
  <c r="D83" i="18" s="1"/>
  <c r="D95" i="18" s="1"/>
  <c r="D107" i="18" s="1"/>
  <c r="D119" i="18" s="1"/>
  <c r="D131" i="18" s="1"/>
  <c r="D143" i="18" s="1"/>
  <c r="D155" i="18" s="1"/>
  <c r="D37" i="18"/>
  <c r="D61" i="18" s="1"/>
  <c r="D40" i="18"/>
  <c r="C72" i="18"/>
  <c r="D33" i="18"/>
  <c r="D45" i="18" s="1"/>
  <c r="D34" i="18"/>
  <c r="D58" i="18" s="1"/>
  <c r="D46" i="18"/>
  <c r="D57" i="18"/>
  <c r="C54" i="18"/>
  <c r="C66" i="18"/>
  <c r="C78" i="18" s="1"/>
  <c r="C49" i="18"/>
  <c r="C61" i="18"/>
  <c r="D53" i="18"/>
  <c r="C90" i="18"/>
  <c r="C102" i="18" s="1"/>
  <c r="C114" i="18" s="1"/>
  <c r="C126" i="18" s="1"/>
  <c r="C138" i="18" s="1"/>
  <c r="C150" i="18" s="1"/>
  <c r="C162" i="18" s="1"/>
  <c r="C64" i="18"/>
  <c r="C76" i="18" s="1"/>
  <c r="D55" i="18"/>
  <c r="C51" i="18"/>
  <c r="C63" i="18"/>
  <c r="C87" i="18" s="1"/>
  <c r="C99" i="18" s="1"/>
  <c r="C111" i="18" s="1"/>
  <c r="C123" i="18" s="1"/>
  <c r="C135" i="18" s="1"/>
  <c r="C147" i="18" s="1"/>
  <c r="C159" i="18" s="1"/>
  <c r="D79" i="18"/>
  <c r="C44" i="18"/>
  <c r="C56" i="18"/>
  <c r="C80" i="18" s="1"/>
  <c r="C92" i="18" s="1"/>
  <c r="C104" i="18" s="1"/>
  <c r="C116" i="18" s="1"/>
  <c r="C128" i="18" s="1"/>
  <c r="C140" i="18" s="1"/>
  <c r="C152" i="18" s="1"/>
  <c r="D66" i="18"/>
  <c r="D78" i="18" s="1"/>
  <c r="C3" i="29"/>
  <c r="F10" i="29"/>
  <c r="H140" i="18"/>
  <c r="C73" i="18"/>
  <c r="C85" i="18"/>
  <c r="C97" i="18" s="1"/>
  <c r="C109" i="18" s="1"/>
  <c r="C121" i="18" s="1"/>
  <c r="C133" i="18" s="1"/>
  <c r="C145" i="18" s="1"/>
  <c r="C157" i="18" s="1"/>
  <c r="C181" i="18" s="1"/>
  <c r="C193" i="18" s="1"/>
  <c r="C205" i="18" s="1"/>
  <c r="D50" i="18"/>
  <c r="C57" i="18"/>
  <c r="C81" i="18" s="1"/>
  <c r="C93" i="18" s="1"/>
  <c r="C105" i="18" s="1"/>
  <c r="C117" i="18" s="1"/>
  <c r="C129" i="18" s="1"/>
  <c r="C141" i="18" s="1"/>
  <c r="C153" i="18" s="1"/>
  <c r="C88" i="18"/>
  <c r="C100" i="18" s="1"/>
  <c r="C112" i="18" s="1"/>
  <c r="C124" i="18" s="1"/>
  <c r="C136" i="18" s="1"/>
  <c r="C148" i="18" s="1"/>
  <c r="C160" i="18" s="1"/>
  <c r="C68" i="18"/>
  <c r="C75" i="18"/>
  <c r="H119" i="18"/>
  <c r="K119" i="18" s="1"/>
  <c r="H203" i="18"/>
  <c r="H33" i="18"/>
  <c r="K33" i="18" s="1"/>
  <c r="H169" i="18"/>
  <c r="K169" i="18" s="1"/>
  <c r="H84" i="18"/>
  <c r="K84" i="18" s="1"/>
  <c r="H128" i="18"/>
  <c r="K128" i="18" s="1"/>
  <c r="H149" i="18"/>
  <c r="K149" i="18" s="1"/>
  <c r="H61" i="18"/>
  <c r="K61" i="18" s="1"/>
  <c r="H205" i="18"/>
  <c r="K205" i="18" s="1"/>
  <c r="H192" i="18"/>
  <c r="K192" i="18" s="1"/>
  <c r="H103" i="18"/>
  <c r="K103" i="18" s="1"/>
  <c r="H161" i="18"/>
  <c r="K161" i="18" s="1"/>
  <c r="H175" i="18"/>
  <c r="K175" i="18" s="1"/>
  <c r="H150" i="18"/>
  <c r="K150" i="18" s="1"/>
  <c r="H174" i="18"/>
  <c r="K174" i="18" s="1"/>
  <c r="H151" i="18"/>
  <c r="K151" i="18" s="1"/>
  <c r="H75" i="18"/>
  <c r="K75" i="18" s="1"/>
  <c r="H173" i="18"/>
  <c r="K173" i="18" s="1"/>
  <c r="H36" i="18"/>
  <c r="K36" i="18" s="1"/>
  <c r="H176" i="18"/>
  <c r="K176" i="18" s="1"/>
  <c r="H88" i="18"/>
  <c r="H40" i="18"/>
  <c r="K40" i="18" s="1"/>
  <c r="H95" i="18"/>
  <c r="K95" i="18" s="1"/>
  <c r="H25" i="18"/>
  <c r="K25" i="18" s="1"/>
  <c r="H122" i="18"/>
  <c r="K122" i="18" s="1"/>
  <c r="H39" i="18"/>
  <c r="K39" i="18" s="1"/>
  <c r="H134" i="18"/>
  <c r="K134" i="18" s="1"/>
  <c r="H163" i="18"/>
  <c r="H167" i="18"/>
  <c r="K167" i="18" s="1"/>
  <c r="H64" i="18"/>
  <c r="K64" i="18" s="1"/>
  <c r="H107" i="18"/>
  <c r="K107" i="18" s="1"/>
  <c r="H35" i="18"/>
  <c r="K35" i="18" s="1"/>
  <c r="H182" i="18"/>
  <c r="K182" i="18" s="1"/>
  <c r="H92" i="18"/>
  <c r="H195" i="18"/>
  <c r="K195" i="18" s="1"/>
  <c r="H82" i="18"/>
  <c r="K82" i="18" s="1"/>
  <c r="H162" i="18"/>
  <c r="K162" i="18" s="1"/>
  <c r="H77" i="18"/>
  <c r="K77" i="18" s="1"/>
  <c r="H79" i="18"/>
  <c r="K79" i="18" s="1"/>
  <c r="H200" i="18"/>
  <c r="K200" i="18" s="1"/>
  <c r="H55" i="18"/>
  <c r="K55" i="18" s="1"/>
  <c r="H117" i="18"/>
  <c r="H199" i="18"/>
  <c r="K199" i="18" s="1"/>
  <c r="H60" i="18"/>
  <c r="K60" i="18" s="1"/>
  <c r="H157" i="18"/>
  <c r="K157" i="18" s="1"/>
  <c r="H166" i="18"/>
  <c r="K166" i="18" s="1"/>
  <c r="H78" i="18"/>
  <c r="K78" i="18" s="1"/>
  <c r="H58" i="18"/>
  <c r="G31" i="29"/>
  <c r="E21" i="29"/>
  <c r="G26" i="29"/>
  <c r="H33" i="29"/>
  <c r="E31" i="29"/>
  <c r="E26" i="29"/>
  <c r="D29" i="29"/>
  <c r="G28" i="29"/>
  <c r="D31" i="29"/>
  <c r="H22" i="29"/>
  <c r="E32" i="29"/>
  <c r="H32" i="29"/>
  <c r="G21" i="29"/>
  <c r="E35" i="29"/>
  <c r="E24" i="29"/>
  <c r="D35" i="29"/>
  <c r="E22" i="29"/>
  <c r="G36" i="29"/>
  <c r="H29" i="29"/>
  <c r="G33" i="29"/>
  <c r="G37" i="29"/>
  <c r="D30" i="29"/>
  <c r="G35" i="29"/>
  <c r="D22" i="29"/>
  <c r="D27" i="29"/>
  <c r="H24" i="29"/>
  <c r="D23" i="29"/>
  <c r="G30" i="29"/>
  <c r="D25" i="29"/>
  <c r="D21" i="29"/>
  <c r="H27" i="29"/>
  <c r="D36" i="29"/>
  <c r="G22" i="29"/>
  <c r="D24" i="29"/>
  <c r="G24" i="29"/>
  <c r="H28" i="29"/>
  <c r="E37" i="29"/>
  <c r="H37" i="29"/>
  <c r="E30" i="29"/>
  <c r="E29" i="29"/>
  <c r="D33" i="29"/>
  <c r="G29" i="29"/>
  <c r="H21" i="29"/>
  <c r="H23" i="29"/>
  <c r="D26" i="29"/>
  <c r="G23" i="29"/>
  <c r="H30" i="29"/>
  <c r="E23" i="29"/>
  <c r="D32" i="29"/>
  <c r="E27" i="29"/>
  <c r="H25" i="29"/>
  <c r="H31" i="29"/>
  <c r="H26" i="29"/>
  <c r="D28" i="29"/>
  <c r="E33" i="29"/>
  <c r="E36" i="29"/>
  <c r="G25" i="29"/>
  <c r="E28" i="29"/>
  <c r="H35" i="29"/>
  <c r="E25" i="29"/>
  <c r="D37" i="29"/>
  <c r="H36" i="29"/>
  <c r="G27" i="29"/>
  <c r="G32" i="29"/>
  <c r="O13" i="18" l="1"/>
  <c r="H53" i="18"/>
  <c r="K53" i="18" s="1"/>
  <c r="H184" i="18"/>
  <c r="K184" i="18" s="1"/>
  <c r="H50" i="18"/>
  <c r="K50" i="18" s="1"/>
  <c r="H67" i="18"/>
  <c r="K67" i="18" s="1"/>
  <c r="H116" i="18"/>
  <c r="K116" i="18" s="1"/>
  <c r="H98" i="18"/>
  <c r="K98" i="18" s="1"/>
  <c r="H66" i="18"/>
  <c r="K66" i="18" s="1"/>
  <c r="H144" i="18"/>
  <c r="K144" i="18" s="1"/>
  <c r="H68" i="18"/>
  <c r="K68" i="18" s="1"/>
  <c r="H54" i="18"/>
  <c r="K54" i="18" s="1"/>
  <c r="H76" i="18"/>
  <c r="K76" i="18" s="1"/>
  <c r="H106" i="18"/>
  <c r="K106" i="18" s="1"/>
  <c r="H81" i="18"/>
  <c r="K81" i="18" s="1"/>
  <c r="H154" i="18"/>
  <c r="K154" i="18" s="1"/>
  <c r="H104" i="18"/>
  <c r="K104" i="18" s="1"/>
  <c r="H59" i="18"/>
  <c r="K59" i="18" s="1"/>
  <c r="H148" i="18"/>
  <c r="K148" i="18" s="1"/>
  <c r="H24" i="18"/>
  <c r="K24" i="18" s="1"/>
  <c r="H177" i="18"/>
  <c r="K177" i="18" s="1"/>
  <c r="H165" i="18"/>
  <c r="K165" i="18" s="1"/>
  <c r="H30" i="18"/>
  <c r="K30" i="18" s="1"/>
  <c r="H83" i="18"/>
  <c r="K83" i="18" s="1"/>
  <c r="H26" i="18"/>
  <c r="K26" i="18" s="1"/>
  <c r="H129" i="18"/>
  <c r="K129" i="18" s="1"/>
  <c r="H46" i="18"/>
  <c r="K46" i="18" s="1"/>
  <c r="H86" i="18"/>
  <c r="K86" i="18" s="1"/>
  <c r="H121" i="18"/>
  <c r="K121" i="18" s="1"/>
  <c r="H43" i="18"/>
  <c r="K43" i="18" s="1"/>
  <c r="H159" i="18"/>
  <c r="K159" i="18" s="1"/>
  <c r="H135" i="18"/>
  <c r="K135" i="18" s="1"/>
  <c r="H188" i="18"/>
  <c r="K188" i="18" s="1"/>
  <c r="H172" i="18"/>
  <c r="H198" i="18"/>
  <c r="K198" i="18" s="1"/>
  <c r="H91" i="18"/>
  <c r="K91" i="18" s="1"/>
  <c r="H34" i="18"/>
  <c r="K34" i="18" s="1"/>
  <c r="H37" i="18"/>
  <c r="K37" i="18" s="1"/>
  <c r="H41" i="18"/>
  <c r="K41" i="18" s="1"/>
  <c r="H74" i="18"/>
  <c r="K74" i="18" s="1"/>
  <c r="H158" i="18"/>
  <c r="K158" i="18" s="1"/>
  <c r="H21" i="18"/>
  <c r="K21" i="18" s="1"/>
  <c r="H160" i="18"/>
  <c r="H201" i="18"/>
  <c r="K201" i="18" s="1"/>
  <c r="H189" i="18"/>
  <c r="K189" i="18" s="1"/>
  <c r="H133" i="18"/>
  <c r="K133" i="18" s="1"/>
  <c r="H168" i="18"/>
  <c r="K168" i="18" s="1"/>
  <c r="H87" i="18"/>
  <c r="K87" i="18" s="1"/>
  <c r="H97" i="18"/>
  <c r="K97" i="18" s="1"/>
  <c r="H70" i="18"/>
  <c r="K70" i="18" s="1"/>
  <c r="H170" i="18"/>
  <c r="K170" i="18" s="1"/>
  <c r="H44" i="18"/>
  <c r="K44" i="18" s="1"/>
  <c r="H136" i="18"/>
  <c r="K136" i="18" s="1"/>
  <c r="H209" i="18"/>
  <c r="K209" i="18" s="1"/>
  <c r="H22" i="18"/>
  <c r="K22" i="18" s="1"/>
  <c r="H108" i="18"/>
  <c r="K108" i="18" s="1"/>
  <c r="H105" i="18"/>
  <c r="K105" i="18" s="1"/>
  <c r="H206" i="18"/>
  <c r="K206" i="18" s="1"/>
  <c r="H179" i="18"/>
  <c r="K179" i="18" s="1"/>
  <c r="H141" i="18"/>
  <c r="K141" i="18" s="1"/>
  <c r="H72" i="18"/>
  <c r="K72" i="18" s="1"/>
  <c r="H138" i="18"/>
  <c r="K138" i="18" s="1"/>
  <c r="H211" i="18"/>
  <c r="K211" i="18" s="1"/>
  <c r="H145" i="18"/>
  <c r="K145" i="18" s="1"/>
  <c r="H185" i="18"/>
  <c r="K185" i="18" s="1"/>
  <c r="H57" i="18"/>
  <c r="K57" i="18" s="1"/>
  <c r="H124" i="18"/>
  <c r="K124" i="18" s="1"/>
  <c r="H109" i="18"/>
  <c r="K109" i="18" s="1"/>
  <c r="H120" i="18"/>
  <c r="K120" i="18" s="1"/>
  <c r="H63" i="18"/>
  <c r="K63" i="18" s="1"/>
  <c r="H137" i="18"/>
  <c r="K137" i="18" s="1"/>
  <c r="H69" i="18"/>
  <c r="K69" i="18" s="1"/>
  <c r="H31" i="18"/>
  <c r="K31" i="18" s="1"/>
  <c r="H171" i="18"/>
  <c r="K171" i="18" s="1"/>
  <c r="H65" i="18"/>
  <c r="K65" i="18" s="1"/>
  <c r="H147" i="18"/>
  <c r="K147" i="18" s="1"/>
  <c r="H208" i="18"/>
  <c r="K208" i="18" s="1"/>
  <c r="H29" i="18"/>
  <c r="K29" i="18" s="1"/>
  <c r="H114" i="18"/>
  <c r="K114" i="18" s="1"/>
  <c r="H89" i="18"/>
  <c r="K89" i="18" s="1"/>
  <c r="H42" i="18"/>
  <c r="K42" i="18" s="1"/>
  <c r="H131" i="18"/>
  <c r="K131" i="18" s="1"/>
  <c r="H96" i="18"/>
  <c r="K96" i="18" s="1"/>
  <c r="H102" i="18"/>
  <c r="K102" i="18" s="1"/>
  <c r="H113" i="18"/>
  <c r="K113" i="18" s="1"/>
  <c r="H123" i="18"/>
  <c r="K123" i="18" s="1"/>
  <c r="H132" i="18"/>
  <c r="K132" i="18" s="1"/>
  <c r="H180" i="18"/>
  <c r="K180" i="18" s="1"/>
  <c r="H85" i="18"/>
  <c r="K85" i="18" s="1"/>
  <c r="H101" i="18"/>
  <c r="K101" i="18" s="1"/>
  <c r="H94" i="18"/>
  <c r="K94" i="18" s="1"/>
  <c r="H207" i="18"/>
  <c r="K207" i="18" s="1"/>
  <c r="H155" i="18"/>
  <c r="K155" i="18" s="1"/>
  <c r="H193" i="18"/>
  <c r="K193" i="18" s="1"/>
  <c r="H196" i="18"/>
  <c r="K196" i="18" s="1"/>
  <c r="H191" i="18"/>
  <c r="K191" i="18" s="1"/>
  <c r="H51" i="18"/>
  <c r="K51" i="18" s="1"/>
  <c r="H186" i="18"/>
  <c r="K186" i="18" s="1"/>
  <c r="H178" i="18"/>
  <c r="K178" i="18" s="1"/>
  <c r="H23" i="18"/>
  <c r="K23" i="18" s="1"/>
  <c r="H110" i="18"/>
  <c r="K110" i="18" s="1"/>
  <c r="H56" i="18"/>
  <c r="K56" i="18" s="1"/>
  <c r="H156" i="18"/>
  <c r="K156" i="18" s="1"/>
  <c r="H48" i="18"/>
  <c r="K48" i="18" s="1"/>
  <c r="H146" i="18"/>
  <c r="K146" i="18" s="1"/>
  <c r="H73" i="18"/>
  <c r="K73" i="18" s="1"/>
  <c r="H202" i="18"/>
  <c r="K202" i="18" s="1"/>
  <c r="H204" i="18"/>
  <c r="K204" i="18" s="1"/>
  <c r="H143" i="18"/>
  <c r="K143" i="18" s="1"/>
  <c r="H90" i="18"/>
  <c r="K90" i="18" s="1"/>
  <c r="H38" i="18"/>
  <c r="K38" i="18" s="1"/>
  <c r="H111" i="18"/>
  <c r="K111" i="18" s="1"/>
  <c r="H118" i="18"/>
  <c r="K118" i="18" s="1"/>
  <c r="H45" i="18"/>
  <c r="K45" i="18" s="1"/>
  <c r="H190" i="18"/>
  <c r="K190" i="18" s="1"/>
  <c r="H27" i="18"/>
  <c r="K27" i="18" s="1"/>
  <c r="H183" i="18"/>
  <c r="K183" i="18" s="1"/>
  <c r="H20" i="18"/>
  <c r="K20" i="18" s="1"/>
  <c r="H100" i="18"/>
  <c r="K100" i="18" s="1"/>
  <c r="H210" i="18"/>
  <c r="K210" i="18" s="1"/>
  <c r="H99" i="18"/>
  <c r="K99" i="18" s="1"/>
  <c r="H194" i="18"/>
  <c r="K194" i="18" s="1"/>
  <c r="H71" i="18"/>
  <c r="K71" i="18" s="1"/>
  <c r="H52" i="18"/>
  <c r="K52" i="18" s="1"/>
  <c r="H80" i="18"/>
  <c r="H125" i="18"/>
  <c r="K125" i="18" s="1"/>
  <c r="H197" i="18"/>
  <c r="K197" i="18" s="1"/>
  <c r="H93" i="18"/>
  <c r="K93" i="18" s="1"/>
  <c r="H126" i="18"/>
  <c r="K126" i="18" s="1"/>
  <c r="H139" i="18"/>
  <c r="K139" i="18" s="1"/>
  <c r="E13" i="29"/>
  <c r="H49" i="18"/>
  <c r="K49" i="18" s="1"/>
  <c r="H47" i="18"/>
  <c r="K47" i="18" s="1"/>
  <c r="H112" i="18"/>
  <c r="H187" i="18"/>
  <c r="K187" i="18" s="1"/>
  <c r="H152" i="18"/>
  <c r="K152" i="18" s="1"/>
  <c r="H181" i="18"/>
  <c r="K181" i="18" s="1"/>
  <c r="H32" i="18"/>
  <c r="K32" i="18" s="1"/>
  <c r="H164" i="18"/>
  <c r="H28" i="18"/>
  <c r="K28" i="18" s="1"/>
  <c r="H115" i="18"/>
  <c r="K115" i="18" s="1"/>
  <c r="H130" i="18"/>
  <c r="K130" i="18" s="1"/>
  <c r="H142" i="18"/>
  <c r="K142" i="18" s="1"/>
  <c r="H127" i="18"/>
  <c r="K127" i="18" s="1"/>
  <c r="H153" i="18"/>
  <c r="K153" i="18" s="1"/>
  <c r="K88" i="18"/>
  <c r="K92" i="18"/>
  <c r="K160" i="18"/>
  <c r="K80" i="18"/>
  <c r="J34" i="29"/>
  <c r="J39" i="29" s="1"/>
  <c r="K203" i="18"/>
  <c r="K140" i="18"/>
  <c r="G212" i="18"/>
  <c r="K164" i="18"/>
  <c r="K58" i="18"/>
  <c r="K117" i="18"/>
  <c r="C67" i="18"/>
  <c r="D90" i="18"/>
  <c r="D102" i="18" s="1"/>
  <c r="D114" i="18" s="1"/>
  <c r="D126" i="18" s="1"/>
  <c r="D138" i="18" s="1"/>
  <c r="D150" i="18" s="1"/>
  <c r="D162" i="18" s="1"/>
  <c r="D174" i="18" s="1"/>
  <c r="D77" i="18"/>
  <c r="D89" i="18"/>
  <c r="D101" i="18" s="1"/>
  <c r="D113" i="18" s="1"/>
  <c r="D125" i="18" s="1"/>
  <c r="D137" i="18" s="1"/>
  <c r="D149" i="18" s="1"/>
  <c r="D161" i="18" s="1"/>
  <c r="D74" i="18"/>
  <c r="D86" i="18"/>
  <c r="D98" i="18" s="1"/>
  <c r="D110" i="18" s="1"/>
  <c r="D122" i="18" s="1"/>
  <c r="D134" i="18" s="1"/>
  <c r="D146" i="18" s="1"/>
  <c r="D158" i="18" s="1"/>
  <c r="C62" i="18"/>
  <c r="D49" i="18"/>
  <c r="D60" i="18"/>
  <c r="D72" i="18" s="1"/>
  <c r="C48" i="18"/>
  <c r="D71" i="18"/>
  <c r="C58" i="18"/>
  <c r="C69" i="18"/>
  <c r="D56" i="18"/>
  <c r="F29" i="29"/>
  <c r="I29" i="29" s="1"/>
  <c r="K29" i="29" s="1"/>
  <c r="F32" i="29"/>
  <c r="I32" i="29" s="1"/>
  <c r="K32" i="29" s="1"/>
  <c r="F24" i="29"/>
  <c r="I24" i="29" s="1"/>
  <c r="K24" i="29" s="1"/>
  <c r="F30" i="29"/>
  <c r="I30" i="29" s="1"/>
  <c r="K30" i="29" s="1"/>
  <c r="H34" i="29"/>
  <c r="F37" i="29"/>
  <c r="I37" i="29" s="1"/>
  <c r="K37" i="29" s="1"/>
  <c r="G34" i="29"/>
  <c r="G39" i="29" s="1"/>
  <c r="F27" i="29"/>
  <c r="I27" i="29" s="1"/>
  <c r="K27" i="29" s="1"/>
  <c r="F33" i="29"/>
  <c r="I33" i="29" s="1"/>
  <c r="K33" i="29" s="1"/>
  <c r="E34" i="29"/>
  <c r="F22" i="29"/>
  <c r="I22" i="29" s="1"/>
  <c r="K22" i="29" s="1"/>
  <c r="H38" i="29"/>
  <c r="F21" i="29"/>
  <c r="D34" i="29"/>
  <c r="F35" i="29"/>
  <c r="D38" i="29"/>
  <c r="F25" i="29"/>
  <c r="I25" i="29" s="1"/>
  <c r="K25" i="29" s="1"/>
  <c r="F28" i="29"/>
  <c r="I28" i="29" s="1"/>
  <c r="K28" i="29" s="1"/>
  <c r="E38" i="29"/>
  <c r="F31" i="29"/>
  <c r="I31" i="29" s="1"/>
  <c r="K31" i="29" s="1"/>
  <c r="G38" i="29"/>
  <c r="F36" i="29"/>
  <c r="I36" i="29" s="1"/>
  <c r="K36" i="29" s="1"/>
  <c r="F26" i="29"/>
  <c r="I26" i="29" s="1"/>
  <c r="K26" i="29" s="1"/>
  <c r="F23" i="29"/>
  <c r="I23" i="29" s="1"/>
  <c r="K23" i="29" s="1"/>
  <c r="C165" i="18"/>
  <c r="C177" i="18"/>
  <c r="C189" i="18" s="1"/>
  <c r="C201" i="18" s="1"/>
  <c r="D183" i="18"/>
  <c r="D195" i="18" s="1"/>
  <c r="D207" i="18" s="1"/>
  <c r="D171" i="18"/>
  <c r="C164" i="18"/>
  <c r="C176" i="18"/>
  <c r="C188" i="18" s="1"/>
  <c r="C200" i="18" s="1"/>
  <c r="C186" i="18"/>
  <c r="C198" i="18" s="1"/>
  <c r="C210" i="18" s="1"/>
  <c r="C174" i="18"/>
  <c r="C180" i="18"/>
  <c r="C192" i="18" s="1"/>
  <c r="C204" i="18" s="1"/>
  <c r="C168" i="18"/>
  <c r="D170" i="18"/>
  <c r="D182" i="18"/>
  <c r="D194" i="18" s="1"/>
  <c r="D206" i="18" s="1"/>
  <c r="C172" i="18"/>
  <c r="C184" i="18"/>
  <c r="C196" i="18" s="1"/>
  <c r="C208" i="18" s="1"/>
  <c r="D185" i="18"/>
  <c r="D197" i="18" s="1"/>
  <c r="D209" i="18" s="1"/>
  <c r="D173" i="18"/>
  <c r="O14" i="18"/>
  <c r="C171" i="18"/>
  <c r="C183" i="18"/>
  <c r="C195" i="18" s="1"/>
  <c r="C207" i="18" s="1"/>
  <c r="D167" i="18"/>
  <c r="D179" i="18"/>
  <c r="D191" i="18" s="1"/>
  <c r="D203" i="18" s="1"/>
  <c r="D70" i="18"/>
  <c r="D82" i="18"/>
  <c r="D94" i="18" s="1"/>
  <c r="D106" i="18" s="1"/>
  <c r="D118" i="18" s="1"/>
  <c r="D130" i="18" s="1"/>
  <c r="D142" i="18" s="1"/>
  <c r="D154" i="18" s="1"/>
  <c r="D68" i="18"/>
  <c r="D80" i="18"/>
  <c r="D92" i="18" s="1"/>
  <c r="D104" i="18" s="1"/>
  <c r="D116" i="18" s="1"/>
  <c r="D128" i="18" s="1"/>
  <c r="D140" i="18" s="1"/>
  <c r="D152" i="18" s="1"/>
  <c r="C47" i="18"/>
  <c r="C59" i="18"/>
  <c r="D186" i="18"/>
  <c r="D198" i="18" s="1"/>
  <c r="D210" i="18" s="1"/>
  <c r="C169" i="18"/>
  <c r="D187" i="18"/>
  <c r="D199" i="18" s="1"/>
  <c r="D211" i="18" s="1"/>
  <c r="D85" i="18"/>
  <c r="D97" i="18" s="1"/>
  <c r="D109" i="18" s="1"/>
  <c r="D121" i="18" s="1"/>
  <c r="D133" i="18" s="1"/>
  <c r="D145" i="18" s="1"/>
  <c r="D157" i="18" s="1"/>
  <c r="D73" i="18"/>
  <c r="D47" i="18"/>
  <c r="C79" i="18"/>
  <c r="C91" i="18"/>
  <c r="C103" i="18" s="1"/>
  <c r="C115" i="18" s="1"/>
  <c r="C127" i="18" s="1"/>
  <c r="C139" i="18" s="1"/>
  <c r="C151" i="18" s="1"/>
  <c r="C163" i="18" s="1"/>
  <c r="C89" i="18"/>
  <c r="C101" i="18" s="1"/>
  <c r="C113" i="18" s="1"/>
  <c r="C125" i="18" s="1"/>
  <c r="C137" i="18" s="1"/>
  <c r="C149" i="18" s="1"/>
  <c r="C161" i="18" s="1"/>
  <c r="C77" i="18"/>
  <c r="D84" i="18"/>
  <c r="D96" i="18" s="1"/>
  <c r="D108" i="18" s="1"/>
  <c r="D120" i="18" s="1"/>
  <c r="D132" i="18" s="1"/>
  <c r="D144" i="18" s="1"/>
  <c r="D156" i="18" s="1"/>
  <c r="D69" i="18"/>
  <c r="D81" i="18"/>
  <c r="D93" i="18" s="1"/>
  <c r="D105" i="18" s="1"/>
  <c r="D117" i="18" s="1"/>
  <c r="D129" i="18" s="1"/>
  <c r="D141" i="18" s="1"/>
  <c r="D153" i="18" s="1"/>
  <c r="D75" i="18"/>
  <c r="K163" i="18"/>
  <c r="K172" i="18"/>
  <c r="K112" i="18"/>
  <c r="D64" i="18"/>
  <c r="D52" i="18"/>
  <c r="C86" i="18" l="1"/>
  <c r="C98" i="18" s="1"/>
  <c r="C110" i="18" s="1"/>
  <c r="C122" i="18" s="1"/>
  <c r="C134" i="18" s="1"/>
  <c r="C146" i="18" s="1"/>
  <c r="C158" i="18" s="1"/>
  <c r="C74" i="18"/>
  <c r="C82" i="18"/>
  <c r="C94" i="18" s="1"/>
  <c r="C106" i="18" s="1"/>
  <c r="C118" i="18" s="1"/>
  <c r="C130" i="18" s="1"/>
  <c r="C142" i="18" s="1"/>
  <c r="C154" i="18" s="1"/>
  <c r="C70" i="18"/>
  <c r="D177" i="18"/>
  <c r="D189" i="18" s="1"/>
  <c r="D201" i="18" s="1"/>
  <c r="D165" i="18"/>
  <c r="D164" i="18"/>
  <c r="D176" i="18"/>
  <c r="D188" i="18" s="1"/>
  <c r="D200" i="18" s="1"/>
  <c r="K14" i="18"/>
  <c r="I35" i="29"/>
  <c r="F38" i="29"/>
  <c r="D168" i="18"/>
  <c r="D180" i="18"/>
  <c r="D192" i="18" s="1"/>
  <c r="D204" i="18" s="1"/>
  <c r="P13" i="18"/>
  <c r="C173" i="18"/>
  <c r="C185" i="18"/>
  <c r="C197" i="18" s="1"/>
  <c r="C209" i="18" s="1"/>
  <c r="P14" i="18"/>
  <c r="P212" i="18"/>
  <c r="D166" i="18"/>
  <c r="D178" i="18"/>
  <c r="D190" i="18" s="1"/>
  <c r="D202" i="18" s="1"/>
  <c r="K13" i="18"/>
  <c r="K212" i="18"/>
  <c r="D39" i="29"/>
  <c r="E39" i="29"/>
  <c r="D88" i="18"/>
  <c r="D100" i="18" s="1"/>
  <c r="D112" i="18" s="1"/>
  <c r="D124" i="18" s="1"/>
  <c r="D136" i="18" s="1"/>
  <c r="D148" i="18" s="1"/>
  <c r="D160" i="18" s="1"/>
  <c r="D76" i="18"/>
  <c r="C175" i="18"/>
  <c r="C187" i="18"/>
  <c r="C199" i="18" s="1"/>
  <c r="C211" i="18" s="1"/>
  <c r="D181" i="18"/>
  <c r="D193" i="18" s="1"/>
  <c r="D205" i="18" s="1"/>
  <c r="D169" i="18"/>
  <c r="C83" i="18"/>
  <c r="C95" i="18" s="1"/>
  <c r="C107" i="18" s="1"/>
  <c r="C119" i="18" s="1"/>
  <c r="C131" i="18" s="1"/>
  <c r="C143" i="18" s="1"/>
  <c r="C155" i="18" s="1"/>
  <c r="C71" i="18"/>
  <c r="F34" i="29"/>
  <c r="I21" i="29"/>
  <c r="H39" i="29"/>
  <c r="F39" i="29" l="1"/>
  <c r="Q13" i="18"/>
  <c r="Q14" i="18"/>
  <c r="C170" i="18"/>
  <c r="C182" i="18"/>
  <c r="C194" i="18" s="1"/>
  <c r="C206" i="18" s="1"/>
  <c r="C178" i="18"/>
  <c r="C190" i="18" s="1"/>
  <c r="C202" i="18" s="1"/>
  <c r="C166" i="18"/>
  <c r="K21" i="29"/>
  <c r="I34" i="29"/>
  <c r="I38" i="29"/>
  <c r="K38" i="29" s="1"/>
  <c r="K35" i="29"/>
  <c r="C167" i="18"/>
  <c r="C179" i="18"/>
  <c r="C191" i="18" s="1"/>
  <c r="C203" i="18" s="1"/>
  <c r="D184" i="18"/>
  <c r="D196" i="18" s="1"/>
  <c r="D208" i="18" s="1"/>
  <c r="D172" i="18"/>
  <c r="K34" i="29" l="1"/>
  <c r="I39" i="29"/>
  <c r="K39" i="29" s="1"/>
  <c r="F12" i="29" l="1"/>
  <c r="M34" i="18" l="1"/>
  <c r="M183" i="18"/>
  <c r="M59" i="18"/>
  <c r="M126" i="18"/>
  <c r="M22" i="18"/>
  <c r="M163" i="18"/>
  <c r="M137" i="18"/>
  <c r="M179" i="18"/>
  <c r="M92" i="18"/>
  <c r="M97" i="18"/>
  <c r="M161" i="18"/>
  <c r="M68" i="18"/>
  <c r="M78" i="18"/>
  <c r="M140" i="18"/>
  <c r="M64" i="18"/>
  <c r="M202" i="18"/>
  <c r="M162" i="18"/>
  <c r="M200" i="18"/>
  <c r="M211" i="18"/>
  <c r="M151" i="18"/>
  <c r="M188" i="18"/>
  <c r="M82" i="18"/>
  <c r="M189" i="18"/>
  <c r="M131" i="18"/>
  <c r="M146" i="18"/>
  <c r="M89" i="18"/>
  <c r="M133" i="18"/>
  <c r="M185" i="18"/>
  <c r="M123" i="18"/>
  <c r="M135" i="18"/>
  <c r="M136" i="18"/>
  <c r="M158" i="18"/>
  <c r="M143" i="18"/>
  <c r="M86" i="18"/>
  <c r="M116" i="18"/>
  <c r="M73" i="18"/>
  <c r="M24" i="18"/>
  <c r="M155" i="18"/>
  <c r="M91" i="18"/>
  <c r="M160" i="18"/>
  <c r="M43" i="18"/>
  <c r="M111" i="18"/>
  <c r="M144" i="18"/>
  <c r="M87" i="18"/>
  <c r="M47" i="18"/>
  <c r="M134" i="18"/>
  <c r="M108" i="18"/>
  <c r="M50" i="18"/>
  <c r="M121" i="18"/>
  <c r="M35" i="18"/>
  <c r="M159" i="18"/>
  <c r="M166" i="18"/>
  <c r="M94" i="18"/>
  <c r="M110" i="18"/>
  <c r="M27" i="18"/>
  <c r="M194" i="18"/>
  <c r="M138" i="18"/>
  <c r="M81" i="18"/>
  <c r="M99" i="18"/>
  <c r="M90" i="18"/>
  <c r="M156" i="18"/>
  <c r="M175" i="18"/>
  <c r="M85" i="18"/>
  <c r="M93" i="18"/>
  <c r="M98" i="18"/>
  <c r="M107" i="18"/>
  <c r="M30" i="18"/>
  <c r="M127" i="18"/>
  <c r="M54" i="18"/>
  <c r="M182" i="18"/>
  <c r="M201" i="18"/>
  <c r="M164" i="18"/>
  <c r="M176" i="18"/>
  <c r="M172" i="18"/>
  <c r="M74" i="18"/>
  <c r="M117" i="18"/>
  <c r="M195" i="18"/>
  <c r="M124" i="18"/>
  <c r="M39" i="18"/>
  <c r="M25" i="18"/>
  <c r="M70" i="18"/>
  <c r="M103" i="18"/>
  <c r="M44" i="18"/>
  <c r="M141" i="18"/>
  <c r="M197" i="18"/>
  <c r="M96" i="18"/>
  <c r="M76" i="18"/>
  <c r="M173" i="18"/>
  <c r="M191" i="18"/>
  <c r="M206" i="18"/>
  <c r="M129" i="18"/>
  <c r="M101" i="18"/>
  <c r="M171" i="18"/>
  <c r="M61" i="18"/>
  <c r="M210" i="18"/>
  <c r="M88" i="18"/>
  <c r="M72" i="18"/>
  <c r="M84" i="18"/>
  <c r="M57" i="18"/>
  <c r="M119" i="18"/>
  <c r="M21" i="18"/>
  <c r="M145" i="18"/>
  <c r="M181" i="18"/>
  <c r="M142" i="18"/>
  <c r="M203" i="18"/>
  <c r="M106" i="18"/>
  <c r="M132" i="18"/>
  <c r="M38" i="18"/>
  <c r="M37" i="18"/>
  <c r="M100" i="18"/>
  <c r="M102" i="18"/>
  <c r="M36" i="18"/>
  <c r="M130" i="18"/>
  <c r="M26" i="18"/>
  <c r="M170" i="18"/>
  <c r="M69" i="18"/>
  <c r="M198" i="18"/>
  <c r="M208" i="18"/>
  <c r="M196" i="18"/>
  <c r="M60" i="18"/>
  <c r="M190" i="18"/>
  <c r="M148" i="18"/>
  <c r="M192" i="18"/>
  <c r="M125" i="18"/>
  <c r="M62" i="18"/>
  <c r="M83" i="18"/>
  <c r="M58" i="18"/>
  <c r="M80" i="18"/>
  <c r="M154" i="18"/>
  <c r="M150" i="18"/>
  <c r="M23" i="18"/>
  <c r="M177" i="18"/>
  <c r="M207" i="18"/>
  <c r="M184" i="18"/>
  <c r="M71" i="18"/>
  <c r="M186" i="18"/>
  <c r="M20" i="18"/>
  <c r="M169" i="18"/>
  <c r="M48" i="18"/>
  <c r="M46" i="18"/>
  <c r="M205" i="18"/>
  <c r="M65" i="18"/>
  <c r="M52" i="18"/>
  <c r="M112" i="18"/>
  <c r="M32" i="18"/>
  <c r="M193" i="18"/>
  <c r="M204" i="18"/>
  <c r="M45" i="18"/>
  <c r="M67" i="18"/>
  <c r="M115" i="18"/>
  <c r="M174" i="18"/>
  <c r="M199" i="18"/>
  <c r="M31" i="18"/>
  <c r="M51" i="18"/>
  <c r="M187" i="18"/>
  <c r="M77" i="18"/>
  <c r="M109" i="18"/>
  <c r="M75" i="18"/>
  <c r="M95" i="18"/>
  <c r="M149" i="18"/>
  <c r="M152" i="18"/>
  <c r="M41" i="18"/>
  <c r="M168" i="18"/>
  <c r="M153" i="18"/>
  <c r="M55" i="18"/>
  <c r="M178" i="18"/>
  <c r="M118" i="18"/>
  <c r="M122" i="18"/>
  <c r="M40" i="18"/>
  <c r="M42" i="18"/>
  <c r="M28" i="18"/>
  <c r="M128" i="18"/>
  <c r="M66" i="18"/>
  <c r="M49" i="18"/>
  <c r="M209" i="18"/>
  <c r="M147" i="18"/>
  <c r="M139" i="18"/>
  <c r="M157" i="18"/>
  <c r="M33" i="18"/>
  <c r="M165" i="18"/>
  <c r="M56" i="18"/>
  <c r="M180" i="18"/>
  <c r="M114" i="18"/>
  <c r="M113" i="18"/>
  <c r="M167" i="18"/>
  <c r="M104" i="18"/>
  <c r="M120" i="18"/>
  <c r="M79" i="18"/>
  <c r="M53" i="18"/>
  <c r="M63" i="18"/>
  <c r="M105" i="18"/>
  <c r="M29" i="18"/>
  <c r="M13" i="18" l="1"/>
  <c r="M212" i="18"/>
  <c r="I45" i="18" l="1"/>
  <c r="J45" i="18" s="1"/>
  <c r="L45" i="18" s="1"/>
  <c r="N45" i="18" s="1"/>
  <c r="R45" i="18" s="1"/>
  <c r="I75" i="18"/>
  <c r="J75" i="18" s="1"/>
  <c r="L75" i="18" s="1"/>
  <c r="N75" i="18" s="1"/>
  <c r="R75" i="18" s="1"/>
  <c r="I146" i="18"/>
  <c r="J146" i="18" s="1"/>
  <c r="L146" i="18" s="1"/>
  <c r="N146" i="18" s="1"/>
  <c r="R146" i="18" s="1"/>
  <c r="I96" i="18"/>
  <c r="J96" i="18" s="1"/>
  <c r="L96" i="18" s="1"/>
  <c r="N96" i="18" s="1"/>
  <c r="R96" i="18" s="1"/>
  <c r="I139" i="18"/>
  <c r="J139" i="18" s="1"/>
  <c r="L139" i="18" s="1"/>
  <c r="N139" i="18" s="1"/>
  <c r="R139" i="18" s="1"/>
  <c r="I87" i="18"/>
  <c r="J87" i="18" s="1"/>
  <c r="L87" i="18" s="1"/>
  <c r="N87" i="18" s="1"/>
  <c r="R87" i="18" s="1"/>
  <c r="I182" i="18"/>
  <c r="J182" i="18" s="1"/>
  <c r="L182" i="18" s="1"/>
  <c r="N182" i="18" s="1"/>
  <c r="R182" i="18" s="1"/>
  <c r="I145" i="18"/>
  <c r="J145" i="18" s="1"/>
  <c r="L145" i="18" s="1"/>
  <c r="N145" i="18" s="1"/>
  <c r="R145" i="18" s="1"/>
  <c r="I144" i="18"/>
  <c r="J144" i="18" s="1"/>
  <c r="L144" i="18" s="1"/>
  <c r="N144" i="18" s="1"/>
  <c r="R144" i="18" s="1"/>
  <c r="I26" i="18"/>
  <c r="J26" i="18" s="1"/>
  <c r="L26" i="18" s="1"/>
  <c r="N26" i="18" s="1"/>
  <c r="R26" i="18" s="1"/>
  <c r="I23" i="18"/>
  <c r="J23" i="18" s="1"/>
  <c r="L23" i="18" s="1"/>
  <c r="N23" i="18" s="1"/>
  <c r="R23" i="18" s="1"/>
  <c r="I198" i="18"/>
  <c r="J198" i="18" s="1"/>
  <c r="L198" i="18" s="1"/>
  <c r="N198" i="18" s="1"/>
  <c r="R198" i="18" s="1"/>
  <c r="I86" i="18"/>
  <c r="J86" i="18" s="1"/>
  <c r="L86" i="18" s="1"/>
  <c r="N86" i="18" s="1"/>
  <c r="R86" i="18" s="1"/>
  <c r="I73" i="18"/>
  <c r="J73" i="18" s="1"/>
  <c r="L73" i="18" s="1"/>
  <c r="N73" i="18" s="1"/>
  <c r="R73" i="18" s="1"/>
  <c r="I176" i="18"/>
  <c r="J176" i="18" s="1"/>
  <c r="L176" i="18" s="1"/>
  <c r="N176" i="18" s="1"/>
  <c r="R176" i="18" s="1"/>
  <c r="I118" i="18"/>
  <c r="J118" i="18" s="1"/>
  <c r="L118" i="18" s="1"/>
  <c r="N118" i="18" s="1"/>
  <c r="R118" i="18" s="1"/>
  <c r="I65" i="18"/>
  <c r="J65" i="18" s="1"/>
  <c r="L65" i="18" s="1"/>
  <c r="N65" i="18" s="1"/>
  <c r="R65" i="18" s="1"/>
  <c r="I78" i="18"/>
  <c r="J78" i="18" s="1"/>
  <c r="L78" i="18" s="1"/>
  <c r="N78" i="18" s="1"/>
  <c r="R78" i="18" s="1"/>
  <c r="I204" i="18"/>
  <c r="J204" i="18" s="1"/>
  <c r="L204" i="18" s="1"/>
  <c r="N204" i="18" s="1"/>
  <c r="R204" i="18" s="1"/>
  <c r="I148" i="18"/>
  <c r="J148" i="18" s="1"/>
  <c r="L148" i="18" s="1"/>
  <c r="N148" i="18" s="1"/>
  <c r="R148" i="18" s="1"/>
  <c r="I36" i="18"/>
  <c r="J36" i="18" s="1"/>
  <c r="L36" i="18" s="1"/>
  <c r="N36" i="18" s="1"/>
  <c r="R36" i="18" s="1"/>
  <c r="I79" i="18"/>
  <c r="J79" i="18" s="1"/>
  <c r="L79" i="18" s="1"/>
  <c r="N79" i="18" s="1"/>
  <c r="R79" i="18" s="1"/>
  <c r="I196" i="18"/>
  <c r="J196" i="18" s="1"/>
  <c r="L196" i="18" s="1"/>
  <c r="N196" i="18" s="1"/>
  <c r="R196" i="18" s="1"/>
  <c r="I207" i="18"/>
  <c r="J207" i="18" s="1"/>
  <c r="L207" i="18" s="1"/>
  <c r="N207" i="18" s="1"/>
  <c r="R207" i="18" s="1"/>
  <c r="I189" i="18"/>
  <c r="J189" i="18" s="1"/>
  <c r="L189" i="18" s="1"/>
  <c r="N189" i="18" s="1"/>
  <c r="R189" i="18" s="1"/>
  <c r="I55" i="18"/>
  <c r="J55" i="18" s="1"/>
  <c r="L55" i="18" s="1"/>
  <c r="N55" i="18" s="1"/>
  <c r="R55" i="18" s="1"/>
  <c r="I159" i="18"/>
  <c r="J159" i="18" s="1"/>
  <c r="L159" i="18" s="1"/>
  <c r="N159" i="18" s="1"/>
  <c r="R159" i="18" s="1"/>
  <c r="I210" i="18"/>
  <c r="J210" i="18" s="1"/>
  <c r="L210" i="18" s="1"/>
  <c r="N210" i="18" s="1"/>
  <c r="R210" i="18" s="1"/>
  <c r="I169" i="18"/>
  <c r="J169" i="18" s="1"/>
  <c r="L169" i="18" s="1"/>
  <c r="N169" i="18" s="1"/>
  <c r="R169" i="18" s="1"/>
  <c r="I161" i="18"/>
  <c r="J161" i="18" s="1"/>
  <c r="L161" i="18" s="1"/>
  <c r="N161" i="18" s="1"/>
  <c r="R161" i="18" s="1"/>
  <c r="I100" i="18"/>
  <c r="J100" i="18" s="1"/>
  <c r="L100" i="18" s="1"/>
  <c r="N100" i="18" s="1"/>
  <c r="R100" i="18" s="1"/>
  <c r="I66" i="18"/>
  <c r="J66" i="18" s="1"/>
  <c r="L66" i="18" s="1"/>
  <c r="N66" i="18" s="1"/>
  <c r="R66" i="18" s="1"/>
  <c r="I202" i="18"/>
  <c r="J202" i="18" s="1"/>
  <c r="L202" i="18" s="1"/>
  <c r="N202" i="18" s="1"/>
  <c r="R202" i="18" s="1"/>
  <c r="I142" i="18"/>
  <c r="J142" i="18" s="1"/>
  <c r="L142" i="18" s="1"/>
  <c r="N142" i="18" s="1"/>
  <c r="R142" i="18" s="1"/>
  <c r="I44" i="18"/>
  <c r="J44" i="18" s="1"/>
  <c r="L44" i="18" s="1"/>
  <c r="N44" i="18" s="1"/>
  <c r="R44" i="18" s="1"/>
  <c r="I132" i="18"/>
  <c r="J132" i="18" s="1"/>
  <c r="L132" i="18" s="1"/>
  <c r="N132" i="18" s="1"/>
  <c r="R132" i="18" s="1"/>
  <c r="I193" i="18"/>
  <c r="J193" i="18" s="1"/>
  <c r="L193" i="18" s="1"/>
  <c r="N193" i="18" s="1"/>
  <c r="R193" i="18" s="1"/>
  <c r="I150" i="18"/>
  <c r="J150" i="18" s="1"/>
  <c r="L150" i="18" s="1"/>
  <c r="N150" i="18" s="1"/>
  <c r="R150" i="18" s="1"/>
  <c r="I84" i="18"/>
  <c r="J84" i="18" s="1"/>
  <c r="L84" i="18" s="1"/>
  <c r="N84" i="18" s="1"/>
  <c r="R84" i="18" s="1"/>
  <c r="I20" i="18"/>
  <c r="J20" i="18" s="1"/>
  <c r="I93" i="18"/>
  <c r="J93" i="18" s="1"/>
  <c r="L93" i="18" s="1"/>
  <c r="N93" i="18" s="1"/>
  <c r="R93" i="18" s="1"/>
  <c r="I50" i="18"/>
  <c r="J50" i="18" s="1"/>
  <c r="L50" i="18" s="1"/>
  <c r="N50" i="18" s="1"/>
  <c r="R50" i="18" s="1"/>
  <c r="I137" i="18"/>
  <c r="J137" i="18" s="1"/>
  <c r="L137" i="18" s="1"/>
  <c r="N137" i="18" s="1"/>
  <c r="R137" i="18" s="1"/>
  <c r="I107" i="18"/>
  <c r="J107" i="18" s="1"/>
  <c r="L107" i="18" s="1"/>
  <c r="N107" i="18" s="1"/>
  <c r="R107" i="18" s="1"/>
  <c r="I110" i="18"/>
  <c r="J110" i="18" s="1"/>
  <c r="L110" i="18" s="1"/>
  <c r="N110" i="18" s="1"/>
  <c r="R110" i="18" s="1"/>
  <c r="I37" i="18"/>
  <c r="J37" i="18" s="1"/>
  <c r="L37" i="18" s="1"/>
  <c r="N37" i="18" s="1"/>
  <c r="R37" i="18" s="1"/>
  <c r="I24" i="18"/>
  <c r="J24" i="18" s="1"/>
  <c r="L24" i="18" s="1"/>
  <c r="N24" i="18" s="1"/>
  <c r="R24" i="18" s="1"/>
  <c r="I52" i="18"/>
  <c r="J52" i="18" s="1"/>
  <c r="L52" i="18" s="1"/>
  <c r="N52" i="18" s="1"/>
  <c r="R52" i="18" s="1"/>
  <c r="I89" i="18"/>
  <c r="J89" i="18" s="1"/>
  <c r="L89" i="18" s="1"/>
  <c r="N89" i="18" s="1"/>
  <c r="R89" i="18" s="1"/>
  <c r="I76" i="18"/>
  <c r="J76" i="18" s="1"/>
  <c r="L76" i="18" s="1"/>
  <c r="N76" i="18" s="1"/>
  <c r="R76" i="18" s="1"/>
  <c r="I114" i="18"/>
  <c r="J114" i="18" s="1"/>
  <c r="L114" i="18" s="1"/>
  <c r="N114" i="18" s="1"/>
  <c r="R114" i="18" s="1"/>
  <c r="I34" i="18"/>
  <c r="J34" i="18" s="1"/>
  <c r="L34" i="18" s="1"/>
  <c r="N34" i="18" s="1"/>
  <c r="R34" i="18" s="1"/>
  <c r="I154" i="18"/>
  <c r="J154" i="18" s="1"/>
  <c r="L154" i="18" s="1"/>
  <c r="N154" i="18" s="1"/>
  <c r="R154" i="18" s="1"/>
  <c r="I64" i="18"/>
  <c r="J64" i="18" s="1"/>
  <c r="L64" i="18" s="1"/>
  <c r="N64" i="18" s="1"/>
  <c r="R64" i="18" s="1"/>
  <c r="I197" i="18"/>
  <c r="J197" i="18" s="1"/>
  <c r="L197" i="18" s="1"/>
  <c r="N197" i="18" s="1"/>
  <c r="R197" i="18" s="1"/>
  <c r="I99" i="18"/>
  <c r="J99" i="18" s="1"/>
  <c r="L99" i="18" s="1"/>
  <c r="N99" i="18" s="1"/>
  <c r="R99" i="18" s="1"/>
  <c r="I128" i="18"/>
  <c r="J128" i="18" s="1"/>
  <c r="L128" i="18" s="1"/>
  <c r="N128" i="18" s="1"/>
  <c r="R128" i="18" s="1"/>
  <c r="I158" i="18"/>
  <c r="J158" i="18" s="1"/>
  <c r="L158" i="18" s="1"/>
  <c r="N158" i="18" s="1"/>
  <c r="R158" i="18" s="1"/>
  <c r="I195" i="18"/>
  <c r="J195" i="18" s="1"/>
  <c r="L195" i="18" s="1"/>
  <c r="N195" i="18" s="1"/>
  <c r="R195" i="18" s="1"/>
  <c r="I168" i="18"/>
  <c r="J168" i="18" s="1"/>
  <c r="L168" i="18" s="1"/>
  <c r="N168" i="18" s="1"/>
  <c r="R168" i="18" s="1"/>
  <c r="I125" i="18"/>
  <c r="J125" i="18" s="1"/>
  <c r="L125" i="18" s="1"/>
  <c r="N125" i="18" s="1"/>
  <c r="R125" i="18" s="1"/>
  <c r="I95" i="18"/>
  <c r="J95" i="18" s="1"/>
  <c r="L95" i="18" s="1"/>
  <c r="N95" i="18" s="1"/>
  <c r="R95" i="18" s="1"/>
  <c r="I56" i="18"/>
  <c r="J56" i="18" s="1"/>
  <c r="I106" i="18"/>
  <c r="J106" i="18" s="1"/>
  <c r="L106" i="18" s="1"/>
  <c r="N106" i="18" s="1"/>
  <c r="R106" i="18" s="1"/>
  <c r="I165" i="18"/>
  <c r="J165" i="18" s="1"/>
  <c r="L165" i="18" s="1"/>
  <c r="N165" i="18" s="1"/>
  <c r="R165" i="18" s="1"/>
  <c r="I38" i="18"/>
  <c r="J38" i="18" s="1"/>
  <c r="L38" i="18" s="1"/>
  <c r="N38" i="18" s="1"/>
  <c r="R38" i="18" s="1"/>
  <c r="I21" i="18"/>
  <c r="J21" i="18" s="1"/>
  <c r="L21" i="18" s="1"/>
  <c r="N21" i="18" s="1"/>
  <c r="R21" i="18" s="1"/>
  <c r="I59" i="18"/>
  <c r="J59" i="18" s="1"/>
  <c r="L59" i="18" s="1"/>
  <c r="N59" i="18" s="1"/>
  <c r="R59" i="18" s="1"/>
  <c r="I211" i="18"/>
  <c r="J211" i="18" s="1"/>
  <c r="L211" i="18" s="1"/>
  <c r="N211" i="18" s="1"/>
  <c r="R211" i="18" s="1"/>
  <c r="I33" i="18"/>
  <c r="J33" i="18" s="1"/>
  <c r="L33" i="18" s="1"/>
  <c r="N33" i="18" s="1"/>
  <c r="R33" i="18" s="1"/>
  <c r="I109" i="18"/>
  <c r="J109" i="18" s="1"/>
  <c r="L109" i="18" s="1"/>
  <c r="N109" i="18" s="1"/>
  <c r="R109" i="18" s="1"/>
  <c r="I190" i="18"/>
  <c r="J190" i="18" s="1"/>
  <c r="L190" i="18" s="1"/>
  <c r="N190" i="18" s="1"/>
  <c r="R190" i="18" s="1"/>
  <c r="I115" i="18"/>
  <c r="J115" i="18" s="1"/>
  <c r="L115" i="18" s="1"/>
  <c r="N115" i="18" s="1"/>
  <c r="R115" i="18" s="1"/>
  <c r="I43" i="18"/>
  <c r="J43" i="18" s="1"/>
  <c r="L43" i="18" s="1"/>
  <c r="N43" i="18" s="1"/>
  <c r="R43" i="18" s="1"/>
  <c r="I102" i="18"/>
  <c r="J102" i="18" s="1"/>
  <c r="L102" i="18" s="1"/>
  <c r="N102" i="18" s="1"/>
  <c r="R102" i="18" s="1"/>
  <c r="I206" i="18"/>
  <c r="J206" i="18" s="1"/>
  <c r="L206" i="18" s="1"/>
  <c r="N206" i="18" s="1"/>
  <c r="R206" i="18" s="1"/>
  <c r="I122" i="18"/>
  <c r="J122" i="18" s="1"/>
  <c r="L122" i="18" s="1"/>
  <c r="N122" i="18" s="1"/>
  <c r="R122" i="18" s="1"/>
  <c r="I171" i="18"/>
  <c r="J171" i="18" s="1"/>
  <c r="L171" i="18" s="1"/>
  <c r="N171" i="18" s="1"/>
  <c r="R171" i="18" s="1"/>
  <c r="I186" i="18"/>
  <c r="J186" i="18" s="1"/>
  <c r="L186" i="18" s="1"/>
  <c r="N186" i="18" s="1"/>
  <c r="R186" i="18" s="1"/>
  <c r="I174" i="18"/>
  <c r="J174" i="18" s="1"/>
  <c r="L174" i="18" s="1"/>
  <c r="N174" i="18" s="1"/>
  <c r="R174" i="18" s="1"/>
  <c r="I127" i="18"/>
  <c r="J127" i="18" s="1"/>
  <c r="L127" i="18" s="1"/>
  <c r="N127" i="18" s="1"/>
  <c r="R127" i="18" s="1"/>
  <c r="I208" i="18"/>
  <c r="J208" i="18" s="1"/>
  <c r="L208" i="18" s="1"/>
  <c r="N208" i="18" s="1"/>
  <c r="R208" i="18" s="1"/>
  <c r="I152" i="18"/>
  <c r="J152" i="18" s="1"/>
  <c r="L152" i="18" s="1"/>
  <c r="N152" i="18" s="1"/>
  <c r="R152" i="18" s="1"/>
  <c r="I149" i="18"/>
  <c r="J149" i="18" s="1"/>
  <c r="L149" i="18" s="1"/>
  <c r="N149" i="18" s="1"/>
  <c r="R149" i="18" s="1"/>
  <c r="I61" i="18"/>
  <c r="J61" i="18" s="1"/>
  <c r="L61" i="18" s="1"/>
  <c r="N61" i="18" s="1"/>
  <c r="R61" i="18" s="1"/>
  <c r="I68" i="18"/>
  <c r="J68" i="18" s="1"/>
  <c r="L68" i="18" s="1"/>
  <c r="N68" i="18" s="1"/>
  <c r="R68" i="18" s="1"/>
  <c r="I22" i="18"/>
  <c r="J22" i="18" s="1"/>
  <c r="L22" i="18" s="1"/>
  <c r="N22" i="18" s="1"/>
  <c r="R22" i="18" s="1"/>
  <c r="I155" i="18"/>
  <c r="J155" i="18" s="1"/>
  <c r="L155" i="18" s="1"/>
  <c r="N155" i="18" s="1"/>
  <c r="R155" i="18" s="1"/>
  <c r="I51" i="18"/>
  <c r="J51" i="18" s="1"/>
  <c r="L51" i="18" s="1"/>
  <c r="N51" i="18" s="1"/>
  <c r="R51" i="18" s="1"/>
  <c r="I129" i="18"/>
  <c r="J129" i="18" s="1"/>
  <c r="L129" i="18" s="1"/>
  <c r="N129" i="18" s="1"/>
  <c r="R129" i="18" s="1"/>
  <c r="I53" i="18"/>
  <c r="J53" i="18" s="1"/>
  <c r="L53" i="18" s="1"/>
  <c r="N53" i="18" s="1"/>
  <c r="R53" i="18" s="1"/>
  <c r="I116" i="18"/>
  <c r="J116" i="18" s="1"/>
  <c r="L116" i="18" s="1"/>
  <c r="N116" i="18" s="1"/>
  <c r="R116" i="18" s="1"/>
  <c r="I134" i="18"/>
  <c r="J134" i="18" s="1"/>
  <c r="L134" i="18" s="1"/>
  <c r="N134" i="18" s="1"/>
  <c r="R134" i="18" s="1"/>
  <c r="I98" i="18"/>
  <c r="J98" i="18" s="1"/>
  <c r="L98" i="18" s="1"/>
  <c r="N98" i="18" s="1"/>
  <c r="R98" i="18" s="1"/>
  <c r="I192" i="18"/>
  <c r="J192" i="18" s="1"/>
  <c r="L192" i="18" s="1"/>
  <c r="N192" i="18" s="1"/>
  <c r="R192" i="18" s="1"/>
  <c r="I112" i="18"/>
  <c r="J112" i="18" s="1"/>
  <c r="L112" i="18" s="1"/>
  <c r="N112" i="18" s="1"/>
  <c r="R112" i="18" s="1"/>
  <c r="I121" i="18"/>
  <c r="J121" i="18" s="1"/>
  <c r="L121" i="18" s="1"/>
  <c r="N121" i="18" s="1"/>
  <c r="R121" i="18" s="1"/>
  <c r="I201" i="18"/>
  <c r="J201" i="18" s="1"/>
  <c r="L201" i="18" s="1"/>
  <c r="N201" i="18" s="1"/>
  <c r="R201" i="18" s="1"/>
  <c r="I82" i="18"/>
  <c r="J82" i="18" s="1"/>
  <c r="L82" i="18" s="1"/>
  <c r="N82" i="18" s="1"/>
  <c r="R82" i="18" s="1"/>
  <c r="I54" i="18"/>
  <c r="J54" i="18" s="1"/>
  <c r="L54" i="18" s="1"/>
  <c r="N54" i="18" s="1"/>
  <c r="R54" i="18" s="1"/>
  <c r="I101" i="18"/>
  <c r="J101" i="18" s="1"/>
  <c r="L101" i="18" s="1"/>
  <c r="N101" i="18" s="1"/>
  <c r="R101" i="18" s="1"/>
  <c r="I153" i="18"/>
  <c r="J153" i="18" s="1"/>
  <c r="L153" i="18" s="1"/>
  <c r="N153" i="18" s="1"/>
  <c r="R153" i="18" s="1"/>
  <c r="I135" i="18"/>
  <c r="J135" i="18" s="1"/>
  <c r="L135" i="18" s="1"/>
  <c r="N135" i="18" s="1"/>
  <c r="R135" i="18" s="1"/>
  <c r="I157" i="18"/>
  <c r="J157" i="18" s="1"/>
  <c r="L157" i="18" s="1"/>
  <c r="N157" i="18" s="1"/>
  <c r="R157" i="18" s="1"/>
  <c r="I57" i="18"/>
  <c r="J57" i="18" s="1"/>
  <c r="L57" i="18" s="1"/>
  <c r="N57" i="18" s="1"/>
  <c r="R57" i="18" s="1"/>
  <c r="I103" i="18"/>
  <c r="J103" i="18" s="1"/>
  <c r="L103" i="18" s="1"/>
  <c r="N103" i="18" s="1"/>
  <c r="R103" i="18" s="1"/>
  <c r="I41" i="18"/>
  <c r="J41" i="18" s="1"/>
  <c r="L41" i="18" s="1"/>
  <c r="N41" i="18" s="1"/>
  <c r="R41" i="18" s="1"/>
  <c r="I70" i="18"/>
  <c r="J70" i="18" s="1"/>
  <c r="L70" i="18" s="1"/>
  <c r="N70" i="18" s="1"/>
  <c r="R70" i="18" s="1"/>
  <c r="I126" i="18"/>
  <c r="J126" i="18" s="1"/>
  <c r="L126" i="18" s="1"/>
  <c r="N126" i="18" s="1"/>
  <c r="R126" i="18" s="1"/>
  <c r="I188" i="18"/>
  <c r="J188" i="18" s="1"/>
  <c r="L188" i="18" s="1"/>
  <c r="N188" i="18" s="1"/>
  <c r="R188" i="18" s="1"/>
  <c r="I94" i="18"/>
  <c r="J94" i="18" s="1"/>
  <c r="L94" i="18" s="1"/>
  <c r="N94" i="18" s="1"/>
  <c r="R94" i="18" s="1"/>
  <c r="I200" i="18"/>
  <c r="J200" i="18" s="1"/>
  <c r="L200" i="18" s="1"/>
  <c r="N200" i="18" s="1"/>
  <c r="R200" i="18" s="1"/>
  <c r="I191" i="18"/>
  <c r="J191" i="18" s="1"/>
  <c r="L191" i="18" s="1"/>
  <c r="N191" i="18" s="1"/>
  <c r="R191" i="18" s="1"/>
  <c r="I40" i="18"/>
  <c r="J40" i="18" s="1"/>
  <c r="L40" i="18" s="1"/>
  <c r="N40" i="18" s="1"/>
  <c r="R40" i="18" s="1"/>
  <c r="I25" i="18"/>
  <c r="J25" i="18" s="1"/>
  <c r="L25" i="18" s="1"/>
  <c r="N25" i="18" s="1"/>
  <c r="R25" i="18" s="1"/>
  <c r="I136" i="18"/>
  <c r="J136" i="18" s="1"/>
  <c r="L136" i="18" s="1"/>
  <c r="N136" i="18" s="1"/>
  <c r="R136" i="18" s="1"/>
  <c r="I80" i="18"/>
  <c r="J80" i="18" s="1"/>
  <c r="L80" i="18" s="1"/>
  <c r="N80" i="18" s="1"/>
  <c r="R80" i="18" s="1"/>
  <c r="I162" i="18"/>
  <c r="J162" i="18" s="1"/>
  <c r="L162" i="18" s="1"/>
  <c r="N162" i="18" s="1"/>
  <c r="R162" i="18" s="1"/>
  <c r="I77" i="18"/>
  <c r="J77" i="18" s="1"/>
  <c r="L77" i="18" s="1"/>
  <c r="N77" i="18" s="1"/>
  <c r="R77" i="18" s="1"/>
  <c r="I140" i="18"/>
  <c r="J140" i="18" s="1"/>
  <c r="L140" i="18" s="1"/>
  <c r="N140" i="18" s="1"/>
  <c r="R140" i="18" s="1"/>
  <c r="I49" i="18"/>
  <c r="J49" i="18" s="1"/>
  <c r="L49" i="18" s="1"/>
  <c r="N49" i="18" s="1"/>
  <c r="R49" i="18" s="1"/>
  <c r="I185" i="18"/>
  <c r="J185" i="18" s="1"/>
  <c r="L185" i="18" s="1"/>
  <c r="N185" i="18" s="1"/>
  <c r="R185" i="18" s="1"/>
  <c r="I170" i="18"/>
  <c r="J170" i="18" s="1"/>
  <c r="L170" i="18" s="1"/>
  <c r="N170" i="18" s="1"/>
  <c r="R170" i="18" s="1"/>
  <c r="I74" i="18"/>
  <c r="J74" i="18" s="1"/>
  <c r="L74" i="18" s="1"/>
  <c r="N74" i="18" s="1"/>
  <c r="R74" i="18" s="1"/>
  <c r="I35" i="18"/>
  <c r="J35" i="18" s="1"/>
  <c r="L35" i="18" s="1"/>
  <c r="N35" i="18" s="1"/>
  <c r="R35" i="18" s="1"/>
  <c r="I133" i="18"/>
  <c r="J133" i="18" s="1"/>
  <c r="L133" i="18" s="1"/>
  <c r="N133" i="18" s="1"/>
  <c r="R133" i="18" s="1"/>
  <c r="I156" i="18"/>
  <c r="J156" i="18" s="1"/>
  <c r="L156" i="18" s="1"/>
  <c r="N156" i="18" s="1"/>
  <c r="R156" i="18" s="1"/>
  <c r="I46" i="18"/>
  <c r="J46" i="18" s="1"/>
  <c r="L46" i="18" s="1"/>
  <c r="N46" i="18" s="1"/>
  <c r="R46" i="18" s="1"/>
  <c r="I32" i="18"/>
  <c r="J32" i="18" s="1"/>
  <c r="L32" i="18" s="1"/>
  <c r="N32" i="18" s="1"/>
  <c r="R32" i="18" s="1"/>
  <c r="I31" i="18"/>
  <c r="J31" i="18" s="1"/>
  <c r="L31" i="18" s="1"/>
  <c r="N31" i="18" s="1"/>
  <c r="R31" i="18" s="1"/>
  <c r="I120" i="18"/>
  <c r="J120" i="18" s="1"/>
  <c r="L120" i="18" s="1"/>
  <c r="N120" i="18" s="1"/>
  <c r="R120" i="18" s="1"/>
  <c r="I97" i="18"/>
  <c r="J97" i="18" s="1"/>
  <c r="L97" i="18" s="1"/>
  <c r="N97" i="18" s="1"/>
  <c r="R97" i="18" s="1"/>
  <c r="I67" i="18"/>
  <c r="J67" i="18" s="1"/>
  <c r="L67" i="18" s="1"/>
  <c r="N67" i="18" s="1"/>
  <c r="R67" i="18" s="1"/>
  <c r="I199" i="18"/>
  <c r="J199" i="18" s="1"/>
  <c r="L199" i="18" s="1"/>
  <c r="N199" i="18" s="1"/>
  <c r="R199" i="18" s="1"/>
  <c r="I88" i="18"/>
  <c r="J88" i="18" s="1"/>
  <c r="L88" i="18" s="1"/>
  <c r="N88" i="18" s="1"/>
  <c r="R88" i="18" s="1"/>
  <c r="I72" i="18"/>
  <c r="J72" i="18" s="1"/>
  <c r="L72" i="18" s="1"/>
  <c r="N72" i="18" s="1"/>
  <c r="R72" i="18" s="1"/>
  <c r="I28" i="18"/>
  <c r="J28" i="18" s="1"/>
  <c r="L28" i="18" s="1"/>
  <c r="N28" i="18" s="1"/>
  <c r="R28" i="18" s="1"/>
  <c r="I175" i="18"/>
  <c r="J175" i="18" s="1"/>
  <c r="L175" i="18" s="1"/>
  <c r="N175" i="18" s="1"/>
  <c r="R175" i="18" s="1"/>
  <c r="I104" i="18"/>
  <c r="J104" i="18" s="1"/>
  <c r="L104" i="18" s="1"/>
  <c r="N104" i="18" s="1"/>
  <c r="R104" i="18" s="1"/>
  <c r="I183" i="18"/>
  <c r="J183" i="18" s="1"/>
  <c r="L183" i="18" s="1"/>
  <c r="N183" i="18" s="1"/>
  <c r="R183" i="18" s="1"/>
  <c r="I177" i="18"/>
  <c r="J177" i="18" s="1"/>
  <c r="L177" i="18" s="1"/>
  <c r="N177" i="18" s="1"/>
  <c r="R177" i="18" s="1"/>
  <c r="I194" i="18"/>
  <c r="J194" i="18" s="1"/>
  <c r="L194" i="18" s="1"/>
  <c r="N194" i="18" s="1"/>
  <c r="R194" i="18" s="1"/>
  <c r="I48" i="18"/>
  <c r="J48" i="18" s="1"/>
  <c r="L48" i="18" s="1"/>
  <c r="N48" i="18" s="1"/>
  <c r="R48" i="18" s="1"/>
  <c r="I167" i="18"/>
  <c r="J167" i="18" s="1"/>
  <c r="L167" i="18" s="1"/>
  <c r="N167" i="18" s="1"/>
  <c r="R167" i="18" s="1"/>
  <c r="I180" i="18"/>
  <c r="J180" i="18" s="1"/>
  <c r="L180" i="18" s="1"/>
  <c r="N180" i="18" s="1"/>
  <c r="R180" i="18" s="1"/>
  <c r="I173" i="18"/>
  <c r="J173" i="18" s="1"/>
  <c r="L173" i="18" s="1"/>
  <c r="N173" i="18" s="1"/>
  <c r="R173" i="18" s="1"/>
  <c r="I29" i="18"/>
  <c r="J29" i="18" s="1"/>
  <c r="L29" i="18" s="1"/>
  <c r="N29" i="18" s="1"/>
  <c r="R29" i="18" s="1"/>
  <c r="I164" i="18"/>
  <c r="J164" i="18" s="1"/>
  <c r="L164" i="18" s="1"/>
  <c r="N164" i="18" s="1"/>
  <c r="R164" i="18" s="1"/>
  <c r="I203" i="18"/>
  <c r="J203" i="18" s="1"/>
  <c r="L203" i="18" s="1"/>
  <c r="N203" i="18" s="1"/>
  <c r="R203" i="18" s="1"/>
  <c r="I105" i="18"/>
  <c r="J105" i="18" s="1"/>
  <c r="L105" i="18" s="1"/>
  <c r="N105" i="18" s="1"/>
  <c r="R105" i="18" s="1"/>
  <c r="I147" i="18"/>
  <c r="J147" i="18" s="1"/>
  <c r="L147" i="18" s="1"/>
  <c r="N147" i="18" s="1"/>
  <c r="R147" i="18" s="1"/>
  <c r="I160" i="18"/>
  <c r="J160" i="18" s="1"/>
  <c r="L160" i="18" s="1"/>
  <c r="N160" i="18" s="1"/>
  <c r="R160" i="18" s="1"/>
  <c r="I85" i="18"/>
  <c r="J85" i="18" s="1"/>
  <c r="L85" i="18" s="1"/>
  <c r="N85" i="18" s="1"/>
  <c r="R85" i="18" s="1"/>
  <c r="I184" i="18"/>
  <c r="J184" i="18" s="1"/>
  <c r="L184" i="18" s="1"/>
  <c r="N184" i="18" s="1"/>
  <c r="R184" i="18" s="1"/>
  <c r="F14" i="29"/>
  <c r="I63" i="18"/>
  <c r="J63" i="18" s="1"/>
  <c r="L63" i="18" s="1"/>
  <c r="N63" i="18" s="1"/>
  <c r="R63" i="18" s="1"/>
  <c r="I27" i="18"/>
  <c r="J27" i="18" s="1"/>
  <c r="L27" i="18" s="1"/>
  <c r="N27" i="18" s="1"/>
  <c r="R27" i="18" s="1"/>
  <c r="I181" i="18"/>
  <c r="J181" i="18" s="1"/>
  <c r="L181" i="18" s="1"/>
  <c r="N181" i="18" s="1"/>
  <c r="R181" i="18" s="1"/>
  <c r="I166" i="18"/>
  <c r="J166" i="18" s="1"/>
  <c r="L166" i="18" s="1"/>
  <c r="N166" i="18" s="1"/>
  <c r="R166" i="18" s="1"/>
  <c r="I58" i="18"/>
  <c r="J58" i="18" s="1"/>
  <c r="L58" i="18" s="1"/>
  <c r="N58" i="18" s="1"/>
  <c r="R58" i="18" s="1"/>
  <c r="I47" i="18"/>
  <c r="J47" i="18" s="1"/>
  <c r="L47" i="18" s="1"/>
  <c r="N47" i="18" s="1"/>
  <c r="R47" i="18" s="1"/>
  <c r="I117" i="18"/>
  <c r="J117" i="18" s="1"/>
  <c r="L117" i="18" s="1"/>
  <c r="N117" i="18" s="1"/>
  <c r="R117" i="18" s="1"/>
  <c r="I81" i="18"/>
  <c r="J81" i="18" s="1"/>
  <c r="L81" i="18" s="1"/>
  <c r="N81" i="18" s="1"/>
  <c r="R81" i="18" s="1"/>
  <c r="I69" i="18"/>
  <c r="J69" i="18" s="1"/>
  <c r="L69" i="18" s="1"/>
  <c r="N69" i="18" s="1"/>
  <c r="R69" i="18" s="1"/>
  <c r="I119" i="18"/>
  <c r="J119" i="18" s="1"/>
  <c r="L119" i="18" s="1"/>
  <c r="N119" i="18" s="1"/>
  <c r="R119" i="18" s="1"/>
  <c r="I205" i="18"/>
  <c r="J205" i="18" s="1"/>
  <c r="L205" i="18" s="1"/>
  <c r="N205" i="18" s="1"/>
  <c r="R205" i="18" s="1"/>
  <c r="I130" i="18"/>
  <c r="J130" i="18" s="1"/>
  <c r="L130" i="18" s="1"/>
  <c r="N130" i="18" s="1"/>
  <c r="R130" i="18" s="1"/>
  <c r="I71" i="18"/>
  <c r="J71" i="18" s="1"/>
  <c r="L71" i="18" s="1"/>
  <c r="N71" i="18" s="1"/>
  <c r="R71" i="18" s="1"/>
  <c r="I209" i="18"/>
  <c r="J209" i="18" s="1"/>
  <c r="L209" i="18" s="1"/>
  <c r="N209" i="18" s="1"/>
  <c r="R209" i="18" s="1"/>
  <c r="I123" i="18"/>
  <c r="J123" i="18" s="1"/>
  <c r="L123" i="18" s="1"/>
  <c r="N123" i="18" s="1"/>
  <c r="R123" i="18" s="1"/>
  <c r="I138" i="18"/>
  <c r="J138" i="18" s="1"/>
  <c r="L138" i="18" s="1"/>
  <c r="N138" i="18" s="1"/>
  <c r="R138" i="18" s="1"/>
  <c r="I91" i="18"/>
  <c r="J91" i="18" s="1"/>
  <c r="L91" i="18" s="1"/>
  <c r="N91" i="18" s="1"/>
  <c r="R91" i="18" s="1"/>
  <c r="I42" i="18"/>
  <c r="J42" i="18" s="1"/>
  <c r="L42" i="18" s="1"/>
  <c r="N42" i="18" s="1"/>
  <c r="R42" i="18" s="1"/>
  <c r="I108" i="18"/>
  <c r="J108" i="18" s="1"/>
  <c r="L108" i="18" s="1"/>
  <c r="N108" i="18" s="1"/>
  <c r="R108" i="18" s="1"/>
  <c r="I141" i="18"/>
  <c r="J141" i="18" s="1"/>
  <c r="L141" i="18" s="1"/>
  <c r="N141" i="18" s="1"/>
  <c r="R141" i="18" s="1"/>
  <c r="I178" i="18"/>
  <c r="J178" i="18" s="1"/>
  <c r="L178" i="18" s="1"/>
  <c r="N178" i="18" s="1"/>
  <c r="R178" i="18" s="1"/>
  <c r="I187" i="18"/>
  <c r="J187" i="18" s="1"/>
  <c r="L187" i="18" s="1"/>
  <c r="N187" i="18" s="1"/>
  <c r="R187" i="18" s="1"/>
  <c r="I151" i="18"/>
  <c r="J151" i="18" s="1"/>
  <c r="L151" i="18" s="1"/>
  <c r="N151" i="18" s="1"/>
  <c r="R151" i="18" s="1"/>
  <c r="I92" i="18"/>
  <c r="J92" i="18" s="1"/>
  <c r="L92" i="18" s="1"/>
  <c r="N92" i="18" s="1"/>
  <c r="R92" i="18" s="1"/>
  <c r="I172" i="18"/>
  <c r="J172" i="18" s="1"/>
  <c r="L172" i="18" s="1"/>
  <c r="N172" i="18" s="1"/>
  <c r="R172" i="18" s="1"/>
  <c r="I90" i="18"/>
  <c r="J90" i="18" s="1"/>
  <c r="L90" i="18" s="1"/>
  <c r="N90" i="18" s="1"/>
  <c r="R90" i="18" s="1"/>
  <c r="I111" i="18"/>
  <c r="J111" i="18" s="1"/>
  <c r="L111" i="18" s="1"/>
  <c r="N111" i="18" s="1"/>
  <c r="R111" i="18" s="1"/>
  <c r="I124" i="18"/>
  <c r="J124" i="18" s="1"/>
  <c r="L124" i="18" s="1"/>
  <c r="N124" i="18" s="1"/>
  <c r="R124" i="18" s="1"/>
  <c r="I179" i="18"/>
  <c r="J179" i="18" s="1"/>
  <c r="L179" i="18" s="1"/>
  <c r="N179" i="18" s="1"/>
  <c r="R179" i="18" s="1"/>
  <c r="I83" i="18"/>
  <c r="J83" i="18" s="1"/>
  <c r="L83" i="18" s="1"/>
  <c r="N83" i="18" s="1"/>
  <c r="R83" i="18" s="1"/>
  <c r="I113" i="18"/>
  <c r="J113" i="18" s="1"/>
  <c r="L113" i="18" s="1"/>
  <c r="N113" i="18" s="1"/>
  <c r="R113" i="18" s="1"/>
  <c r="I131" i="18"/>
  <c r="J131" i="18" s="1"/>
  <c r="L131" i="18" s="1"/>
  <c r="N131" i="18" s="1"/>
  <c r="R131" i="18" s="1"/>
  <c r="I163" i="18"/>
  <c r="J163" i="18" s="1"/>
  <c r="L163" i="18" s="1"/>
  <c r="N163" i="18" s="1"/>
  <c r="R163" i="18" s="1"/>
  <c r="I143" i="18"/>
  <c r="J143" i="18" s="1"/>
  <c r="L143" i="18" s="1"/>
  <c r="N143" i="18" s="1"/>
  <c r="R143" i="18" s="1"/>
  <c r="I30" i="18"/>
  <c r="J30" i="18" s="1"/>
  <c r="L30" i="18" s="1"/>
  <c r="N30" i="18" s="1"/>
  <c r="R30" i="18" s="1"/>
  <c r="I62" i="18"/>
  <c r="J62" i="18" s="1"/>
  <c r="L62" i="18" s="1"/>
  <c r="N62" i="18" s="1"/>
  <c r="R62" i="18" s="1"/>
  <c r="I60" i="18"/>
  <c r="J60" i="18" s="1"/>
  <c r="L60" i="18" s="1"/>
  <c r="N60" i="18" s="1"/>
  <c r="R60" i="18" s="1"/>
  <c r="I39" i="18"/>
  <c r="J39" i="18" s="1"/>
  <c r="L39" i="18" s="1"/>
  <c r="N39" i="18" s="1"/>
  <c r="R39" i="18" s="1"/>
  <c r="J212" i="18" l="1"/>
  <c r="L20" i="18"/>
  <c r="J14" i="18"/>
  <c r="L56" i="18"/>
  <c r="J13" i="18"/>
  <c r="L212" i="18" l="1"/>
  <c r="L14" i="18"/>
  <c r="N20" i="18"/>
  <c r="L13" i="18"/>
  <c r="N56" i="18"/>
  <c r="R20" i="18" l="1"/>
  <c r="N14" i="18"/>
  <c r="R56" i="18"/>
  <c r="R13" i="18" s="1"/>
  <c r="N13" i="18"/>
  <c r="R14" i="18" l="1"/>
  <c r="R212" i="18"/>
</calcChain>
</file>

<file path=xl/comments1.xml><?xml version="1.0" encoding="utf-8"?>
<comments xmlns="http://schemas.openxmlformats.org/spreadsheetml/2006/main">
  <authors>
    <author>rlp</author>
  </authors>
  <commentList>
    <comment ref="J2" authorId="0" shapeId="0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True-Up ATRR and rate from current year's (t=0) update.
</t>
        </r>
      </text>
    </comment>
    <comment ref="K2" authorId="0" shapeId="0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3" authorId="0" shapeId="0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J19" authorId="0" shapeId="0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Actual Charge based on after the fact "True-Up" rate for entire prior CY.</t>
        </r>
      </text>
    </comment>
    <comment ref="K19" authorId="0" shapeId="0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Amount charged during the Rate Year based on projected rates.</t>
        </r>
      </text>
    </comment>
  </commentList>
</comments>
</file>

<file path=xl/sharedStrings.xml><?xml version="1.0" encoding="utf-8"?>
<sst xmlns="http://schemas.openxmlformats.org/spreadsheetml/2006/main" count="421" uniqueCount="105">
  <si>
    <t>Customer</t>
  </si>
  <si>
    <t>MW</t>
  </si>
  <si>
    <t>Total True-up</t>
  </si>
  <si>
    <t>True-Up w/o Interest</t>
  </si>
  <si>
    <t>Billing
Date*</t>
  </si>
  <si>
    <t>Payment Received*</t>
  </si>
  <si>
    <t>Annual RR</t>
  </si>
  <si>
    <t>Interest</t>
  </si>
  <si>
    <t>OMPA</t>
  </si>
  <si>
    <t>WFEC</t>
  </si>
  <si>
    <t>Monthly Rate</t>
  </si>
  <si>
    <t>True-up Values:  Surcharge / (Refund)</t>
  </si>
  <si>
    <t>Sched.</t>
  </si>
  <si>
    <t>ETEC</t>
  </si>
  <si>
    <t>AECC</t>
  </si>
  <si>
    <t>Greenbelt</t>
  </si>
  <si>
    <t>Lighthouse</t>
  </si>
  <si>
    <t>Coffeyville, KS</t>
  </si>
  <si>
    <t>Grand Total</t>
  </si>
  <si>
    <t>OG&amp;E</t>
  </si>
  <si>
    <t>AEP Revenue Adjustment</t>
  </si>
  <si>
    <t>PSO</t>
  </si>
  <si>
    <t>SWEPCO</t>
  </si>
  <si>
    <r>
      <t xml:space="preserve">NOTE:  </t>
    </r>
    <r>
      <rPr>
        <sz val="10"/>
        <rFont val="Arial"/>
        <family val="2"/>
      </rPr>
      <t>This is a normal part of the Annual True-up</t>
    </r>
  </si>
  <si>
    <t>Data</t>
  </si>
  <si>
    <t>Sum of True-Up w/o Interest</t>
  </si>
  <si>
    <t>Sum of Interest</t>
  </si>
  <si>
    <t>Sum of Total True-up</t>
  </si>
  <si>
    <t>Total Sum of True-Up w/o Interest</t>
  </si>
  <si>
    <t>Total Sum of Interest</t>
  </si>
  <si>
    <t>Total Sum of Total True-up</t>
  </si>
  <si>
    <t>(A)</t>
  </si>
  <si>
    <t>(B)</t>
  </si>
  <si>
    <t>(C)</t>
  </si>
  <si>
    <t>(D) = (B) - (C)</t>
  </si>
  <si>
    <t>(E)</t>
  </si>
  <si>
    <t>Network Customer True-Up (Schedule 9 charges)</t>
  </si>
  <si>
    <t>Projected</t>
  </si>
  <si>
    <r>
      <t xml:space="preserve">Projected </t>
    </r>
    <r>
      <rPr>
        <sz val="10"/>
        <rFont val="Arial Narrow"/>
        <family val="2"/>
      </rPr>
      <t>(Invoiced)</t>
    </r>
  </si>
  <si>
    <t xml:space="preserve">  ARR</t>
  </si>
  <si>
    <t xml:space="preserve">  Monthly Rates</t>
  </si>
  <si>
    <r>
      <t>Actual</t>
    </r>
    <r>
      <rPr>
        <sz val="10"/>
        <rFont val="Arial Narrow"/>
        <family val="2"/>
      </rPr>
      <t xml:space="preserve"> (True-Up)</t>
    </r>
  </si>
  <si>
    <r>
      <t xml:space="preserve">Actual </t>
    </r>
    <r>
      <rPr>
        <sz val="10"/>
        <rFont val="Arial Narrow"/>
        <family val="2"/>
      </rPr>
      <t>(True-Up)</t>
    </r>
  </si>
  <si>
    <t xml:space="preserve">    Non-Affiliate
    Subtotals</t>
  </si>
  <si>
    <t>TOTALS</t>
  </si>
  <si>
    <t>Comment</t>
  </si>
  <si>
    <t>Actual True-Up Rate</t>
  </si>
  <si>
    <t>Invoiced*** Charge (proj.)</t>
  </si>
  <si>
    <r>
      <t>Projected Rate</t>
    </r>
    <r>
      <rPr>
        <sz val="8"/>
        <rFont val="Arial"/>
        <family val="2"/>
      </rPr>
      <t xml:space="preserve"> (as Invoiced)</t>
    </r>
  </si>
  <si>
    <t>Sum of Invoiced*** Charge (proj.)</t>
  </si>
  <si>
    <t xml:space="preserve">  Customer</t>
  </si>
  <si>
    <t xml:space="preserve">    Affiliate
    Subtotals</t>
  </si>
  <si>
    <t>Customer True-Up for Amounts Billed</t>
  </si>
  <si>
    <t>Serivce Month</t>
  </si>
  <si>
    <t>Bentonville, AR</t>
  </si>
  <si>
    <t>Prescott, AR</t>
  </si>
  <si>
    <t>Minden, LA</t>
  </si>
  <si>
    <t>Hope, AR</t>
  </si>
  <si>
    <t>3rd Party Totals</t>
  </si>
  <si>
    <t>SPP Zone1 Totals (incl. PSO/SWE)</t>
  </si>
  <si>
    <t>Surcharge / (Refund)</t>
  </si>
  <si>
    <t>Total Sum of Invoiced*** Charge (proj.)</t>
  </si>
  <si>
    <r>
      <t xml:space="preserve">*** </t>
    </r>
    <r>
      <rPr>
        <sz val="8"/>
        <rFont val="Arial"/>
        <family val="2"/>
      </rPr>
      <t>Invoiced Charge reflects any subsequent routine invoice corrections by SPP.</t>
    </r>
  </si>
  <si>
    <t>Instructions</t>
  </si>
  <si>
    <r>
      <t>Roll Date: input trueup year in cell=</t>
    </r>
    <r>
      <rPr>
        <b/>
        <i/>
        <sz val="10"/>
        <rFont val="Arial"/>
        <family val="2"/>
      </rPr>
      <t>Transactions!N1</t>
    </r>
  </si>
  <si>
    <t>Update Prime Rates data:  see Prime-Rates tab</t>
  </si>
  <si>
    <r>
      <t>Verify Refund Date:  verify and change (if needed) Refund Date celll=</t>
    </r>
    <r>
      <rPr>
        <b/>
        <i/>
        <sz val="10"/>
        <rFont val="Arial"/>
        <family val="2"/>
      </rPr>
      <t>Transactions!W8</t>
    </r>
  </si>
  <si>
    <t>Billing/Pmt Rec'd Dates:  Verify these dates (currently set to formulaicly update relative to trueup year)</t>
  </si>
  <si>
    <t>Update SPP Zone1 NITS Customer list &amp; formulas (if needed): look at LoadWS in main template &amp; also check w/Load Settlements.</t>
  </si>
  <si>
    <t>Update invoiced Load values per month per customer (from LoadWS in main template) (transpose)</t>
  </si>
  <si>
    <t>Sum of True-Up Charge</t>
  </si>
  <si>
    <t>Total Sum of True-Up Charge</t>
  </si>
  <si>
    <r>
      <t xml:space="preserve">Refresh Pivot Table in </t>
    </r>
    <r>
      <rPr>
        <b/>
        <sz val="10"/>
        <rFont val="Arial"/>
        <family val="2"/>
      </rPr>
      <t>tab=PIVOT</t>
    </r>
  </si>
  <si>
    <t>NOTE:  Be aware that title changes to a Transaction tab column summarized in the pivot table cause such column to be dropped form the pivot table when it is refreshed.</t>
  </si>
  <si>
    <t>NOTE:  In that instance, manually update the LAYOUT of the pivot table to re-summarize the column that encountered a title change.</t>
  </si>
  <si>
    <t>NOTE:  The SUMMARY table in that tab contains GETPIVOTDATA functions that should still work as they reference tltle cells in Transactions tab.</t>
  </si>
  <si>
    <t>Update Rate Summary tab. (very manual process).</t>
  </si>
  <si>
    <t xml:space="preserve">            as contemplated in the AEP Formula Rate Protocols.</t>
  </si>
  <si>
    <t>NOTE:  "Rate Summary" tab is usually "walked-through" during customer meeting but not printed.</t>
  </si>
  <si>
    <t>NOTE:  Print to PDF the "Summary" tab as a supplement for customer Mtg handout and published PDFs.</t>
  </si>
  <si>
    <r>
      <t>Input Sched 9 ATRRs &amp; rates from prior 2 update's (projected) and this year's update (trueup)=</t>
    </r>
    <r>
      <rPr>
        <b/>
        <i/>
        <sz val="10"/>
        <rFont val="Arial"/>
        <family val="2"/>
      </rPr>
      <t>Transactions!J2:K8</t>
    </r>
  </si>
  <si>
    <t>SWEPCO-Valley</t>
  </si>
  <si>
    <t>* SPP bills customer on third business day, AEP receives on 24th or next business day.</t>
  </si>
  <si>
    <t>AECI</t>
  </si>
  <si>
    <t>Tax Rebilling Rate</t>
  </si>
  <si>
    <t>Tax True Up Billing</t>
  </si>
  <si>
    <t>Tax True Up</t>
  </si>
  <si>
    <t>Sum of Tax True Up Billing</t>
  </si>
  <si>
    <t>Total Sum of Tax True Up Billing</t>
  </si>
  <si>
    <t>Sum of Tax True Up</t>
  </si>
  <si>
    <t>Total Sum of Tax True Up</t>
  </si>
  <si>
    <t>(G) = (D) + (E) - (F)</t>
  </si>
  <si>
    <t>(G)</t>
  </si>
  <si>
    <t>January - December</t>
  </si>
  <si>
    <t>PUBLIC SERVICE COMPANY of OKLAHOMA &amp; SOUTHWESTERN ELECTRIC POWER</t>
  </si>
  <si>
    <t>(H)</t>
  </si>
  <si>
    <t xml:space="preserve"> (I) = (G) + (H)</t>
  </si>
  <si>
    <t>2017 ROE Refund</t>
  </si>
  <si>
    <t>Total NITS Surcharge / Refun</t>
  </si>
  <si>
    <t>AEPTCo Formula Rate -- FERC Docket ER18-195</t>
  </si>
  <si>
    <t>2019 True Up Including Interest</t>
  </si>
  <si>
    <t>Total 2019
True-Up Surcharge / (Refund)</t>
  </si>
  <si>
    <r>
      <t>2019 True-Up
(</t>
    </r>
    <r>
      <rPr>
        <sz val="10"/>
        <rFont val="Arial"/>
        <family val="2"/>
      </rPr>
      <t>w/o Interest)</t>
    </r>
  </si>
  <si>
    <t>2019 Interest</t>
  </si>
  <si>
    <t>2019 Tax True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</si>
</sst>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"/>
    <numFmt numFmtId="168" formatCode="0.0%"/>
  </numFmts>
  <fonts count="2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i/>
      <sz val="9"/>
      <color indexed="10"/>
      <name val="Arial"/>
      <family val="2"/>
    </font>
    <font>
      <b/>
      <sz val="10"/>
      <color indexed="12"/>
      <name val="Arial"/>
      <family val="2"/>
    </font>
    <font>
      <b/>
      <i/>
      <sz val="10"/>
      <name val="Arial"/>
      <family val="2"/>
    </font>
    <font>
      <sz val="10"/>
      <color rgb="FF0000FF"/>
      <name val="Arial"/>
      <family val="2"/>
    </font>
    <font>
      <sz val="8"/>
      <color rgb="FF0066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50">
    <xf numFmtId="0" fontId="0" fillId="0" borderId="0" xfId="0"/>
    <xf numFmtId="0" fontId="0" fillId="0" borderId="0" xfId="0" applyProtection="1"/>
    <xf numFmtId="0" fontId="0" fillId="0" borderId="0" xfId="0" applyFill="1" applyProtection="1"/>
    <xf numFmtId="0" fontId="0" fillId="0" borderId="0" xfId="0" quotePrefix="1" applyAlignment="1" applyProtection="1">
      <alignment horizontal="left"/>
    </xf>
    <xf numFmtId="0" fontId="2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23" fillId="6" borderId="0" xfId="0" applyFont="1" applyFill="1" applyProtection="1"/>
    <xf numFmtId="0" fontId="2" fillId="2" borderId="0" xfId="0" quotePrefix="1" applyFont="1" applyFill="1" applyAlignment="1" applyProtection="1">
      <alignment horizontal="left"/>
    </xf>
    <xf numFmtId="0" fontId="0" fillId="2" borderId="0" xfId="0" applyFill="1" applyProtection="1"/>
    <xf numFmtId="0" fontId="10" fillId="0" borderId="0" xfId="0" quotePrefix="1" applyFont="1" applyAlignment="1" applyProtection="1">
      <alignment horizontal="left"/>
    </xf>
    <xf numFmtId="0" fontId="3" fillId="0" borderId="0" xfId="0" quotePrefix="1" applyFont="1" applyAlignment="1" applyProtection="1">
      <alignment horizontal="left"/>
    </xf>
    <xf numFmtId="0" fontId="16" fillId="0" borderId="1" xfId="0" quotePrefix="1" applyFont="1" applyFill="1" applyBorder="1" applyAlignment="1" applyProtection="1">
      <alignment horizontal="center" vertical="center"/>
    </xf>
    <xf numFmtId="0" fontId="15" fillId="0" borderId="2" xfId="0" quotePrefix="1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15" fillId="0" borderId="4" xfId="0" quotePrefix="1" applyFont="1" applyBorder="1" applyAlignment="1" applyProtection="1">
      <alignment horizontal="right"/>
    </xf>
    <xf numFmtId="0" fontId="15" fillId="0" borderId="0" xfId="0" quotePrefix="1" applyFont="1" applyBorder="1" applyAlignment="1" applyProtection="1">
      <alignment horizontal="right"/>
    </xf>
    <xf numFmtId="164" fontId="4" fillId="0" borderId="0" xfId="0" applyNumberFormat="1" applyFont="1" applyFill="1" applyBorder="1" applyAlignment="1" applyProtection="1">
      <alignment horizontal="centerContinuous"/>
    </xf>
    <xf numFmtId="0" fontId="14" fillId="0" borderId="5" xfId="0" applyFont="1" applyBorder="1" applyAlignment="1" applyProtection="1">
      <alignment horizontal="center" vertical="center" wrapText="1"/>
    </xf>
    <xf numFmtId="0" fontId="14" fillId="0" borderId="0" xfId="0" quotePrefix="1" applyFont="1" applyAlignment="1" applyProtection="1">
      <alignment horizontal="center" vertical="center" wrapText="1"/>
    </xf>
    <xf numFmtId="0" fontId="14" fillId="0" borderId="6" xfId="0" quotePrefix="1" applyFont="1" applyBorder="1" applyAlignment="1" applyProtection="1">
      <alignment horizontal="center" vertical="center" wrapText="1"/>
    </xf>
    <xf numFmtId="0" fontId="14" fillId="0" borderId="0" xfId="0" quotePrefix="1" applyFont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/>
    </xf>
    <xf numFmtId="0" fontId="15" fillId="0" borderId="2" xfId="0" quotePrefix="1" applyFont="1" applyBorder="1" applyAlignment="1" applyProtection="1">
      <alignment horizontal="left" vertical="center"/>
    </xf>
    <xf numFmtId="0" fontId="15" fillId="0" borderId="3" xfId="0" quotePrefix="1" applyFont="1" applyBorder="1" applyAlignment="1" applyProtection="1">
      <alignment horizontal="left" vertical="center"/>
    </xf>
    <xf numFmtId="167" fontId="1" fillId="0" borderId="3" xfId="0" applyNumberFormat="1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167" fontId="13" fillId="0" borderId="4" xfId="0" applyNumberFormat="1" applyFont="1" applyFill="1" applyBorder="1" applyAlignment="1" applyProtection="1">
      <alignment horizontal="center" vertical="center"/>
    </xf>
    <xf numFmtId="167" fontId="13" fillId="0" borderId="0" xfId="0" applyNumberFormat="1" applyFont="1" applyFill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vertical="center"/>
    </xf>
    <xf numFmtId="0" fontId="15" fillId="0" borderId="8" xfId="0" quotePrefix="1" applyFont="1" applyBorder="1" applyAlignment="1" applyProtection="1">
      <alignment horizontal="left" vertical="center"/>
    </xf>
    <xf numFmtId="0" fontId="12" fillId="0" borderId="8" xfId="0" quotePrefix="1" applyFont="1" applyFill="1" applyBorder="1" applyAlignment="1" applyProtection="1">
      <alignment horizontal="center" vertical="center"/>
    </xf>
    <xf numFmtId="167" fontId="13" fillId="0" borderId="8" xfId="0" quotePrefix="1" applyNumberFormat="1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167" fontId="0" fillId="0" borderId="0" xfId="0" applyNumberFormat="1" applyProtection="1"/>
    <xf numFmtId="0" fontId="10" fillId="0" borderId="0" xfId="0" applyFont="1" applyFill="1" applyBorder="1" applyAlignment="1" applyProtection="1">
      <alignment horizontal="center"/>
    </xf>
    <xf numFmtId="0" fontId="15" fillId="0" borderId="10" xfId="0" quotePrefix="1" applyFont="1" applyBorder="1" applyAlignment="1" applyProtection="1">
      <alignment horizontal="left" vertical="center"/>
    </xf>
    <xf numFmtId="0" fontId="15" fillId="0" borderId="0" xfId="0" quotePrefix="1" applyFont="1" applyBorder="1" applyAlignment="1" applyProtection="1">
      <alignment horizontal="left" vertical="center"/>
    </xf>
    <xf numFmtId="164" fontId="13" fillId="0" borderId="0" xfId="0" quotePrefix="1" applyNumberFormat="1" applyFont="1" applyFill="1" applyBorder="1" applyAlignment="1" applyProtection="1">
      <alignment horizontal="center" vertical="center" wrapText="1"/>
    </xf>
    <xf numFmtId="164" fontId="13" fillId="0" borderId="11" xfId="0" quotePrefix="1" applyNumberFormat="1" applyFont="1" applyFill="1" applyBorder="1" applyAlignment="1" applyProtection="1">
      <alignment horizontal="center" vertical="center"/>
    </xf>
    <xf numFmtId="164" fontId="13" fillId="0" borderId="0" xfId="0" quotePrefix="1" applyNumberFormat="1" applyFont="1" applyFill="1" applyBorder="1" applyAlignment="1" applyProtection="1">
      <alignment horizontal="center" vertical="center"/>
    </xf>
    <xf numFmtId="164" fontId="0" fillId="0" borderId="0" xfId="0" applyNumberFormat="1" applyProtection="1"/>
    <xf numFmtId="0" fontId="15" fillId="0" borderId="5" xfId="0" applyFont="1" applyBorder="1" applyAlignment="1" applyProtection="1">
      <alignment vertical="center"/>
    </xf>
    <xf numFmtId="0" fontId="15" fillId="0" borderId="1" xfId="0" quotePrefix="1" applyFont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center" vertical="center"/>
    </xf>
    <xf numFmtId="164" fontId="1" fillId="0" borderId="1" xfId="0" quotePrefix="1" applyNumberFormat="1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14" fillId="0" borderId="0" xfId="0" quotePrefix="1" applyFont="1" applyFill="1" applyBorder="1" applyAlignment="1" applyProtection="1">
      <alignment horizontal="left"/>
    </xf>
    <xf numFmtId="0" fontId="10" fillId="0" borderId="0" xfId="0" applyFont="1" applyFill="1" applyBorder="1" applyProtection="1"/>
    <xf numFmtId="0" fontId="10" fillId="0" borderId="0" xfId="0" quotePrefix="1" applyFont="1" applyFill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center"/>
    </xf>
    <xf numFmtId="0" fontId="0" fillId="0" borderId="0" xfId="0" applyBorder="1" applyProtection="1"/>
    <xf numFmtId="165" fontId="0" fillId="0" borderId="0" xfId="2" applyNumberFormat="1" applyFont="1" applyBorder="1" applyProtection="1"/>
    <xf numFmtId="0" fontId="0" fillId="0" borderId="0" xfId="0" quotePrefix="1" applyBorder="1" applyAlignment="1" applyProtection="1">
      <alignment horizontal="left"/>
    </xf>
    <xf numFmtId="0" fontId="0" fillId="0" borderId="0" xfId="0" applyBorder="1" applyAlignment="1" applyProtection="1">
      <alignment horizontal="center" vertical="center"/>
    </xf>
    <xf numFmtId="0" fontId="0" fillId="0" borderId="0" xfId="0" quotePrefix="1" applyBorder="1" applyAlignment="1" applyProtection="1">
      <alignment horizontal="center" vertical="center"/>
    </xf>
    <xf numFmtId="0" fontId="0" fillId="0" borderId="0" xfId="0" quotePrefix="1" applyFont="1" applyFill="1" applyBorder="1" applyAlignment="1" applyProtection="1">
      <alignment horizontal="center" vertical="center"/>
    </xf>
    <xf numFmtId="167" fontId="2" fillId="0" borderId="0" xfId="0" quotePrefix="1" applyNumberFormat="1" applyFont="1" applyProtection="1"/>
    <xf numFmtId="0" fontId="3" fillId="0" borderId="12" xfId="0" quotePrefix="1" applyFont="1" applyBorder="1" applyAlignment="1" applyProtection="1">
      <alignment horizontal="left" vertical="center" wrapText="1"/>
    </xf>
    <xf numFmtId="0" fontId="3" fillId="0" borderId="13" xfId="0" quotePrefix="1" applyFont="1" applyBorder="1" applyAlignment="1" applyProtection="1">
      <alignment horizontal="center" vertical="center" wrapText="1"/>
    </xf>
    <xf numFmtId="0" fontId="3" fillId="0" borderId="14" xfId="0" quotePrefix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quotePrefix="1" applyFont="1" applyBorder="1" applyAlignment="1" applyProtection="1">
      <alignment horizontal="center" vertical="center" wrapText="1"/>
    </xf>
    <xf numFmtId="0" fontId="3" fillId="0" borderId="16" xfId="0" quotePrefix="1" applyFont="1" applyBorder="1" applyAlignment="1" applyProtection="1">
      <alignment horizontal="center" vertical="center" wrapText="1"/>
    </xf>
    <xf numFmtId="165" fontId="0" fillId="0" borderId="0" xfId="0" applyNumberFormat="1" applyProtection="1"/>
    <xf numFmtId="0" fontId="0" fillId="0" borderId="10" xfId="0" applyBorder="1" applyProtection="1"/>
    <xf numFmtId="165" fontId="0" fillId="0" borderId="17" xfId="2" applyNumberFormat="1" applyFont="1" applyBorder="1" applyProtection="1"/>
    <xf numFmtId="165" fontId="0" fillId="0" borderId="18" xfId="2" applyNumberFormat="1" applyFont="1" applyBorder="1" applyProtection="1"/>
    <xf numFmtId="165" fontId="0" fillId="0" borderId="19" xfId="2" applyNumberFormat="1" applyFont="1" applyBorder="1" applyProtection="1"/>
    <xf numFmtId="165" fontId="0" fillId="0" borderId="11" xfId="2" applyNumberFormat="1" applyFont="1" applyBorder="1" applyProtection="1"/>
    <xf numFmtId="0" fontId="0" fillId="0" borderId="10" xfId="0" quotePrefix="1" applyBorder="1" applyAlignment="1" applyProtection="1">
      <alignment horizontal="left"/>
    </xf>
    <xf numFmtId="43" fontId="0" fillId="0" borderId="0" xfId="0" applyNumberFormat="1" applyBorder="1" applyProtection="1"/>
    <xf numFmtId="0" fontId="0" fillId="0" borderId="20" xfId="0" applyBorder="1" applyProtection="1"/>
    <xf numFmtId="0" fontId="9" fillId="3" borderId="21" xfId="0" quotePrefix="1" applyFont="1" applyFill="1" applyBorder="1" applyAlignment="1" applyProtection="1">
      <alignment horizontal="left" vertical="center" wrapText="1"/>
    </xf>
    <xf numFmtId="165" fontId="0" fillId="3" borderId="22" xfId="2" applyNumberFormat="1" applyFont="1" applyFill="1" applyBorder="1" applyAlignment="1" applyProtection="1">
      <alignment vertical="center"/>
    </xf>
    <xf numFmtId="165" fontId="0" fillId="3" borderId="23" xfId="2" applyNumberFormat="1" applyFont="1" applyFill="1" applyBorder="1" applyAlignment="1" applyProtection="1">
      <alignment vertical="center"/>
    </xf>
    <xf numFmtId="165" fontId="3" fillId="3" borderId="24" xfId="2" applyNumberFormat="1" applyFont="1" applyFill="1" applyBorder="1" applyAlignment="1" applyProtection="1">
      <alignment vertical="center"/>
    </xf>
    <xf numFmtId="165" fontId="3" fillId="3" borderId="25" xfId="2" applyNumberFormat="1" applyFont="1" applyFill="1" applyBorder="1" applyAlignment="1" applyProtection="1">
      <alignment vertical="center"/>
    </xf>
    <xf numFmtId="165" fontId="3" fillId="3" borderId="26" xfId="2" applyNumberFormat="1" applyFont="1" applyFill="1" applyBorder="1" applyAlignment="1" applyProtection="1">
      <alignment vertical="center"/>
    </xf>
    <xf numFmtId="0" fontId="0" fillId="0" borderId="27" xfId="0" quotePrefix="1" applyBorder="1" applyAlignment="1" applyProtection="1">
      <alignment horizontal="left"/>
    </xf>
    <xf numFmtId="0" fontId="0" fillId="0" borderId="19" xfId="0" applyBorder="1" applyProtection="1"/>
    <xf numFmtId="0" fontId="0" fillId="0" borderId="28" xfId="0" applyBorder="1" applyProtection="1"/>
    <xf numFmtId="0" fontId="9" fillId="0" borderId="21" xfId="0" quotePrefix="1" applyFont="1" applyFill="1" applyBorder="1" applyAlignment="1" applyProtection="1">
      <alignment horizontal="left" vertical="center" wrapText="1"/>
    </xf>
    <xf numFmtId="165" fontId="0" fillId="0" borderId="22" xfId="2" applyNumberFormat="1" applyFont="1" applyFill="1" applyBorder="1" applyAlignment="1" applyProtection="1">
      <alignment vertical="center"/>
    </xf>
    <xf numFmtId="165" fontId="0" fillId="0" borderId="23" xfId="2" applyNumberFormat="1" applyFont="1" applyFill="1" applyBorder="1" applyAlignment="1" applyProtection="1">
      <alignment vertical="center"/>
    </xf>
    <xf numFmtId="165" fontId="3" fillId="0" borderId="24" xfId="2" applyNumberFormat="1" applyFont="1" applyFill="1" applyBorder="1" applyAlignment="1" applyProtection="1">
      <alignment vertical="center"/>
    </xf>
    <xf numFmtId="165" fontId="3" fillId="0" borderId="25" xfId="2" applyNumberFormat="1" applyFont="1" applyFill="1" applyBorder="1" applyAlignment="1" applyProtection="1">
      <alignment vertical="center"/>
    </xf>
    <xf numFmtId="165" fontId="3" fillId="0" borderId="26" xfId="2" applyNumberFormat="1" applyFont="1" applyFill="1" applyBorder="1" applyAlignment="1" applyProtection="1">
      <alignment vertical="center"/>
    </xf>
    <xf numFmtId="166" fontId="0" fillId="0" borderId="0" xfId="1" applyNumberFormat="1" applyFont="1" applyProtection="1"/>
    <xf numFmtId="0" fontId="9" fillId="0" borderId="5" xfId="0" quotePrefix="1" applyFont="1" applyBorder="1" applyAlignment="1" applyProtection="1">
      <alignment horizontal="center" vertical="center" wrapText="1"/>
    </xf>
    <xf numFmtId="165" fontId="0" fillId="0" borderId="29" xfId="2" applyNumberFormat="1" applyFont="1" applyBorder="1" applyAlignment="1" applyProtection="1">
      <alignment vertical="center"/>
    </xf>
    <xf numFmtId="165" fontId="0" fillId="0" borderId="30" xfId="2" applyNumberFormat="1" applyFont="1" applyBorder="1" applyAlignment="1" applyProtection="1">
      <alignment vertical="center"/>
    </xf>
    <xf numFmtId="165" fontId="0" fillId="0" borderId="31" xfId="2" applyNumberFormat="1" applyFont="1" applyBorder="1" applyAlignment="1" applyProtection="1">
      <alignment vertical="center"/>
    </xf>
    <xf numFmtId="165" fontId="0" fillId="0" borderId="32" xfId="2" applyNumberFormat="1" applyFont="1" applyBorder="1" applyAlignment="1" applyProtection="1">
      <alignment vertical="center"/>
    </xf>
    <xf numFmtId="165" fontId="0" fillId="0" borderId="33" xfId="2" applyNumberFormat="1" applyFont="1" applyBorder="1" applyAlignment="1" applyProtection="1">
      <alignment vertical="center"/>
    </xf>
    <xf numFmtId="166" fontId="0" fillId="0" borderId="0" xfId="0" applyNumberFormat="1" applyProtection="1"/>
    <xf numFmtId="0" fontId="0" fillId="0" borderId="38" xfId="0" applyBorder="1" applyProtection="1"/>
    <xf numFmtId="0" fontId="0" fillId="0" borderId="39" xfId="0" applyBorder="1" applyProtection="1"/>
    <xf numFmtId="0" fontId="0" fillId="0" borderId="38" xfId="0" pivotButton="1" applyBorder="1" applyProtection="1"/>
    <xf numFmtId="0" fontId="0" fillId="0" borderId="40" xfId="0" applyBorder="1" applyProtection="1"/>
    <xf numFmtId="17" fontId="0" fillId="0" borderId="38" xfId="0" applyNumberFormat="1" applyBorder="1" applyProtection="1"/>
    <xf numFmtId="17" fontId="0" fillId="0" borderId="41" xfId="0" applyNumberFormat="1" applyBorder="1" applyProtection="1"/>
    <xf numFmtId="17" fontId="0" fillId="0" borderId="42" xfId="0" applyNumberFormat="1" applyBorder="1" applyProtection="1"/>
    <xf numFmtId="166" fontId="0" fillId="0" borderId="38" xfId="0" applyNumberFormat="1" applyBorder="1" applyProtection="1"/>
    <xf numFmtId="166" fontId="0" fillId="0" borderId="41" xfId="0" applyNumberFormat="1" applyBorder="1" applyProtection="1"/>
    <xf numFmtId="166" fontId="0" fillId="0" borderId="42" xfId="0" applyNumberFormat="1" applyBorder="1" applyProtection="1"/>
    <xf numFmtId="0" fontId="0" fillId="0" borderId="43" xfId="0" applyBorder="1" applyProtection="1"/>
    <xf numFmtId="166" fontId="0" fillId="0" borderId="43" xfId="0" applyNumberFormat="1" applyBorder="1" applyProtection="1"/>
    <xf numFmtId="166" fontId="0" fillId="0" borderId="44" xfId="0" applyNumberFormat="1" applyBorder="1" applyProtection="1"/>
    <xf numFmtId="0" fontId="0" fillId="0" borderId="45" xfId="0" applyBorder="1" applyProtection="1"/>
    <xf numFmtId="166" fontId="0" fillId="0" borderId="45" xfId="0" applyNumberFormat="1" applyBorder="1" applyProtection="1"/>
    <xf numFmtId="166" fontId="0" fillId="0" borderId="46" xfId="0" applyNumberFormat="1" applyBorder="1" applyProtection="1"/>
    <xf numFmtId="166" fontId="0" fillId="0" borderId="47" xfId="0" applyNumberFormat="1" applyBorder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164" fontId="4" fillId="0" borderId="2" xfId="0" applyNumberFormat="1" applyFont="1" applyBorder="1" applyAlignment="1" applyProtection="1">
      <alignment horizontal="center"/>
    </xf>
    <xf numFmtId="164" fontId="4" fillId="0" borderId="3" xfId="0" applyNumberFormat="1" applyFont="1" applyBorder="1" applyAlignment="1" applyProtection="1">
      <alignment horizontal="centerContinuous"/>
    </xf>
    <xf numFmtId="0" fontId="0" fillId="0" borderId="3" xfId="0" applyBorder="1" applyAlignment="1" applyProtection="1">
      <alignment horizontal="centerContinuous"/>
    </xf>
    <xf numFmtId="164" fontId="9" fillId="0" borderId="14" xfId="0" applyNumberFormat="1" applyFont="1" applyBorder="1" applyAlignment="1" applyProtection="1">
      <alignment horizontal="center" wrapText="1"/>
    </xf>
    <xf numFmtId="164" fontId="4" fillId="0" borderId="14" xfId="0" quotePrefix="1" applyNumberFormat="1" applyFont="1" applyBorder="1" applyAlignment="1" applyProtection="1">
      <alignment horizontal="center" wrapText="1"/>
    </xf>
    <xf numFmtId="164" fontId="4" fillId="0" borderId="14" xfId="0" applyNumberFormat="1" applyFont="1" applyBorder="1" applyAlignment="1" applyProtection="1">
      <alignment horizontal="center" wrapText="1"/>
    </xf>
    <xf numFmtId="0" fontId="0" fillId="0" borderId="16" xfId="0" applyBorder="1" applyProtection="1"/>
    <xf numFmtId="0" fontId="21" fillId="6" borderId="0" xfId="0" applyFont="1" applyFill="1" applyProtection="1"/>
    <xf numFmtId="0" fontId="0" fillId="0" borderId="1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4" fontId="6" fillId="0" borderId="0" xfId="0" applyNumberFormat="1" applyFont="1" applyBorder="1" applyAlignment="1" applyProtection="1">
      <alignment horizontal="center"/>
    </xf>
    <xf numFmtId="167" fontId="7" fillId="6" borderId="0" xfId="0" applyNumberFormat="1" applyFont="1" applyFill="1" applyBorder="1" applyAlignment="1" applyProtection="1">
      <alignment horizontal="right"/>
    </xf>
    <xf numFmtId="10" fontId="24" fillId="0" borderId="0" xfId="4" quotePrefix="1" applyNumberFormat="1" applyFont="1" applyBorder="1" applyAlignment="1" applyProtection="1">
      <alignment horizontal="left"/>
    </xf>
    <xf numFmtId="0" fontId="0" fillId="0" borderId="11" xfId="0" applyBorder="1" applyProtection="1"/>
    <xf numFmtId="164" fontId="7" fillId="6" borderId="0" xfId="0" applyNumberFormat="1" applyFont="1" applyFill="1" applyBorder="1" applyAlignment="1" applyProtection="1">
      <alignment horizontal="right"/>
    </xf>
    <xf numFmtId="0" fontId="0" fillId="0" borderId="0" xfId="0" quotePrefix="1" applyBorder="1" applyAlignment="1" applyProtection="1">
      <alignment horizontal="center"/>
    </xf>
    <xf numFmtId="0" fontId="0" fillId="0" borderId="0" xfId="0" applyBorder="1" applyAlignment="1" applyProtection="1">
      <alignment horizontal="right"/>
    </xf>
    <xf numFmtId="0" fontId="0" fillId="0" borderId="11" xfId="0" applyBorder="1" applyAlignment="1" applyProtection="1">
      <alignment horizontal="center"/>
    </xf>
    <xf numFmtId="168" fontId="0" fillId="0" borderId="11" xfId="4" applyNumberFormat="1" applyFont="1" applyBorder="1" applyAlignment="1" applyProtection="1">
      <alignment horizontal="center"/>
    </xf>
    <xf numFmtId="168" fontId="0" fillId="0" borderId="0" xfId="4" applyNumberFormat="1" applyFont="1" applyBorder="1" applyAlignment="1" applyProtection="1">
      <alignment horizontal="center"/>
    </xf>
    <xf numFmtId="0" fontId="0" fillId="0" borderId="34" xfId="0" applyBorder="1" applyProtection="1"/>
    <xf numFmtId="164" fontId="4" fillId="0" borderId="10" xfId="0" applyNumberFormat="1" applyFont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Continuous"/>
    </xf>
    <xf numFmtId="164" fontId="19" fillId="0" borderId="0" xfId="0" applyNumberFormat="1" applyFont="1" applyBorder="1" applyAlignment="1" applyProtection="1">
      <alignment horizontal="center" wrapText="1"/>
    </xf>
    <xf numFmtId="164" fontId="4" fillId="0" borderId="0" xfId="0" quotePrefix="1" applyNumberFormat="1" applyFont="1" applyBorder="1" applyAlignment="1" applyProtection="1">
      <alignment horizontal="center" wrapText="1"/>
    </xf>
    <xf numFmtId="164" fontId="4" fillId="0" borderId="0" xfId="0" applyNumberFormat="1" applyFont="1" applyBorder="1" applyAlignment="1" applyProtection="1">
      <alignment horizontal="center" wrapText="1"/>
    </xf>
    <xf numFmtId="167" fontId="1" fillId="0" borderId="0" xfId="0" applyNumberFormat="1" applyFont="1" applyFill="1" applyBorder="1" applyAlignment="1" applyProtection="1">
      <alignment horizontal="right"/>
    </xf>
    <xf numFmtId="168" fontId="0" fillId="0" borderId="11" xfId="0" applyNumberFormat="1" applyBorder="1" applyProtection="1"/>
    <xf numFmtId="168" fontId="0" fillId="0" borderId="0" xfId="0" applyNumberFormat="1" applyBorder="1" applyProtection="1"/>
    <xf numFmtId="164" fontId="1" fillId="0" borderId="0" xfId="0" applyNumberFormat="1" applyFont="1" applyFill="1" applyBorder="1" applyAlignment="1" applyProtection="1">
      <alignment horizontal="right"/>
    </xf>
    <xf numFmtId="0" fontId="1" fillId="0" borderId="0" xfId="0" quotePrefix="1" applyFont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164" fontId="20" fillId="0" borderId="0" xfId="0" quotePrefix="1" applyNumberFormat="1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0" fontId="0" fillId="0" borderId="0" xfId="0" quotePrefix="1" applyFill="1" applyBorder="1" applyAlignment="1" applyProtection="1">
      <alignment horizontal="center"/>
    </xf>
    <xf numFmtId="164" fontId="6" fillId="0" borderId="0" xfId="0" applyNumberFormat="1" applyFont="1" applyAlignment="1" applyProtection="1">
      <alignment horizontal="left"/>
    </xf>
    <xf numFmtId="0" fontId="0" fillId="0" borderId="5" xfId="0" applyBorder="1" applyAlignment="1" applyProtection="1">
      <alignment horizontal="center"/>
    </xf>
    <xf numFmtId="0" fontId="0" fillId="0" borderId="1" xfId="0" applyBorder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164" fontId="20" fillId="0" borderId="1" xfId="0" quotePrefix="1" applyNumberFormat="1" applyFont="1" applyFill="1" applyBorder="1" applyAlignment="1" applyProtection="1">
      <alignment horizontal="left"/>
    </xf>
    <xf numFmtId="164" fontId="1" fillId="0" borderId="1" xfId="0" applyNumberFormat="1" applyFont="1" applyFill="1" applyBorder="1" applyAlignment="1" applyProtection="1">
      <alignment horizontal="right"/>
    </xf>
    <xf numFmtId="10" fontId="1" fillId="0" borderId="1" xfId="4" quotePrefix="1" applyNumberFormat="1" applyFont="1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34" xfId="0" applyBorder="1" applyAlignment="1" applyProtection="1">
      <alignment horizontal="center"/>
    </xf>
    <xf numFmtId="0" fontId="11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right"/>
    </xf>
    <xf numFmtId="10" fontId="0" fillId="0" borderId="0" xfId="4" applyNumberFormat="1" applyFont="1" applyAlignment="1" applyProtection="1">
      <alignment horizontal="center"/>
    </xf>
    <xf numFmtId="0" fontId="0" fillId="0" borderId="34" xfId="0" quotePrefix="1" applyBorder="1" applyAlignment="1" applyProtection="1">
      <alignment horizontal="right"/>
    </xf>
    <xf numFmtId="0" fontId="0" fillId="0" borderId="23" xfId="0" applyBorder="1" applyAlignment="1" applyProtection="1">
      <alignment horizontal="center"/>
    </xf>
    <xf numFmtId="0" fontId="1" fillId="0" borderId="23" xfId="0" applyFont="1" applyFill="1" applyBorder="1" applyAlignment="1" applyProtection="1">
      <alignment horizontal="center"/>
    </xf>
    <xf numFmtId="164" fontId="3" fillId="0" borderId="25" xfId="0" applyNumberFormat="1" applyFont="1" applyBorder="1" applyAlignment="1" applyProtection="1">
      <alignment horizontal="right"/>
    </xf>
    <xf numFmtId="167" fontId="0" fillId="0" borderId="23" xfId="0" applyNumberFormat="1" applyBorder="1" applyAlignment="1" applyProtection="1">
      <alignment horizontal="center"/>
    </xf>
    <xf numFmtId="167" fontId="0" fillId="4" borderId="25" xfId="0" applyNumberFormat="1" applyFill="1" applyBorder="1" applyAlignment="1" applyProtection="1">
      <alignment horizontal="center"/>
    </xf>
    <xf numFmtId="167" fontId="0" fillId="0" borderId="35" xfId="0" applyNumberForma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164" fontId="3" fillId="0" borderId="28" xfId="0" applyNumberFormat="1" applyFont="1" applyBorder="1" applyAlignment="1" applyProtection="1">
      <alignment horizontal="right"/>
    </xf>
    <xf numFmtId="14" fontId="1" fillId="0" borderId="17" xfId="0" quotePrefix="1" applyNumberFormat="1" applyFont="1" applyFill="1" applyBorder="1" applyAlignment="1" applyProtection="1">
      <alignment horizontal="left"/>
    </xf>
    <xf numFmtId="164" fontId="5" fillId="0" borderId="0" xfId="0" applyNumberFormat="1" applyFont="1" applyBorder="1" applyAlignment="1" applyProtection="1">
      <alignment horizontal="center"/>
    </xf>
    <xf numFmtId="164" fontId="5" fillId="0" borderId="34" xfId="0" applyNumberFormat="1" applyFont="1" applyBorder="1" applyAlignment="1" applyProtection="1">
      <alignment horizontal="right"/>
    </xf>
    <xf numFmtId="0" fontId="1" fillId="0" borderId="0" xfId="0" quotePrefix="1" applyFont="1" applyAlignment="1" applyProtection="1">
      <alignment horizontal="left"/>
    </xf>
    <xf numFmtId="166" fontId="1" fillId="0" borderId="0" xfId="1" applyNumberFormat="1" applyFont="1" applyFill="1" applyAlignment="1" applyProtection="1">
      <alignment horizontal="right"/>
    </xf>
    <xf numFmtId="166" fontId="1" fillId="0" borderId="0" xfId="1" quotePrefix="1" applyNumberFormat="1" applyFont="1" applyFill="1" applyAlignment="1" applyProtection="1">
      <alignment horizontal="left"/>
    </xf>
    <xf numFmtId="164" fontId="5" fillId="0" borderId="34" xfId="0" applyNumberFormat="1" applyFont="1" applyBorder="1" applyAlignment="1" applyProtection="1">
      <alignment horizontal="center"/>
    </xf>
    <xf numFmtId="14" fontId="0" fillId="0" borderId="17" xfId="0" quotePrefix="1" applyNumberFormat="1" applyFill="1" applyBorder="1" applyAlignment="1" applyProtection="1">
      <alignment horizontal="left"/>
    </xf>
    <xf numFmtId="44" fontId="5" fillId="0" borderId="0" xfId="2" applyNumberFormat="1" applyFont="1" applyAlignment="1" applyProtection="1">
      <alignment horizontal="center"/>
    </xf>
    <xf numFmtId="9" fontId="1" fillId="0" borderId="0" xfId="4" applyFont="1" applyAlignment="1" applyProtection="1">
      <alignment horizontal="center"/>
    </xf>
    <xf numFmtId="44" fontId="5" fillId="0" borderId="0" xfId="2" applyFont="1" applyAlignment="1" applyProtection="1">
      <alignment horizontal="center"/>
    </xf>
    <xf numFmtId="44" fontId="5" fillId="0" borderId="34" xfId="2" applyFont="1" applyBorder="1" applyAlignment="1" applyProtection="1">
      <alignment horizontal="center"/>
    </xf>
    <xf numFmtId="165" fontId="1" fillId="0" borderId="0" xfId="2" applyNumberFormat="1" applyFont="1" applyAlignment="1" applyProtection="1">
      <alignment horizontal="center"/>
    </xf>
    <xf numFmtId="0" fontId="4" fillId="0" borderId="0" xfId="0" quotePrefix="1" applyFont="1" applyBorder="1" applyAlignment="1" applyProtection="1">
      <alignment horizontal="center"/>
    </xf>
    <xf numFmtId="0" fontId="4" fillId="0" borderId="36" xfId="0" quotePrefix="1" applyFont="1" applyBorder="1" applyAlignment="1" applyProtection="1">
      <alignment horizontal="center"/>
    </xf>
    <xf numFmtId="164" fontId="4" fillId="0" borderId="22" xfId="0" quotePrefix="1" applyNumberFormat="1" applyFont="1" applyBorder="1" applyAlignment="1" applyProtection="1">
      <alignment horizontal="center" vertical="center" wrapText="1"/>
    </xf>
    <xf numFmtId="164" fontId="4" fillId="0" borderId="23" xfId="0" quotePrefix="1" applyNumberFormat="1" applyFont="1" applyBorder="1" applyAlignment="1" applyProtection="1">
      <alignment horizontal="center" vertical="center" wrapText="1"/>
    </xf>
    <xf numFmtId="0" fontId="4" fillId="0" borderId="23" xfId="0" applyFont="1" applyBorder="1" applyAlignment="1" applyProtection="1">
      <alignment horizontal="left" vertical="center"/>
    </xf>
    <xf numFmtId="0" fontId="4" fillId="0" borderId="23" xfId="0" quotePrefix="1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23" xfId="0" quotePrefix="1" applyFont="1" applyBorder="1" applyAlignment="1" applyProtection="1">
      <alignment horizontal="center" vertical="center" wrapText="1"/>
    </xf>
    <xf numFmtId="164" fontId="4" fillId="5" borderId="23" xfId="0" quotePrefix="1" applyNumberFormat="1" applyFont="1" applyFill="1" applyBorder="1" applyAlignment="1" applyProtection="1">
      <alignment horizontal="center" vertical="center" wrapText="1"/>
    </xf>
    <xf numFmtId="164" fontId="4" fillId="0" borderId="23" xfId="0" applyNumberFormat="1" applyFont="1" applyBorder="1" applyAlignment="1" applyProtection="1">
      <alignment horizontal="center" vertical="center" wrapText="1"/>
    </xf>
    <xf numFmtId="164" fontId="4" fillId="0" borderId="35" xfId="0" applyNumberFormat="1" applyFont="1" applyBorder="1" applyAlignment="1" applyProtection="1">
      <alignment horizontal="center" vertical="center" wrapText="1"/>
    </xf>
    <xf numFmtId="164" fontId="4" fillId="0" borderId="36" xfId="0" applyNumberFormat="1" applyFont="1" applyBorder="1" applyAlignment="1" applyProtection="1">
      <alignment horizontal="center" vertical="center" wrapText="1"/>
    </xf>
    <xf numFmtId="164" fontId="4" fillId="0" borderId="28" xfId="0" applyNumberFormat="1" applyFont="1" applyBorder="1" applyAlignment="1" applyProtection="1">
      <alignment horizontal="center" vertical="center" wrapText="1"/>
    </xf>
    <xf numFmtId="17" fontId="0" fillId="0" borderId="0" xfId="0" applyNumberFormat="1" applyBorder="1" applyAlignment="1" applyProtection="1">
      <alignment horizontal="center"/>
    </xf>
    <xf numFmtId="14" fontId="7" fillId="6" borderId="0" xfId="3" applyNumberFormat="1" applyFont="1" applyFill="1" applyBorder="1" applyProtection="1"/>
    <xf numFmtId="14" fontId="7" fillId="2" borderId="0" xfId="0" applyNumberFormat="1" applyFont="1" applyFill="1" applyBorder="1" applyAlignment="1" applyProtection="1">
      <alignment horizontal="left"/>
    </xf>
    <xf numFmtId="1" fontId="8" fillId="6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Border="1" applyProtection="1"/>
    <xf numFmtId="164" fontId="1" fillId="0" borderId="0" xfId="0" applyNumberFormat="1" applyFont="1" applyAlignment="1" applyProtection="1">
      <alignment horizontal="right"/>
    </xf>
    <xf numFmtId="164" fontId="0" fillId="0" borderId="0" xfId="0" applyNumberFormat="1" applyBorder="1" applyAlignment="1" applyProtection="1"/>
    <xf numFmtId="164" fontId="1" fillId="0" borderId="0" xfId="0" applyNumberFormat="1" applyFont="1" applyAlignment="1" applyProtection="1"/>
    <xf numFmtId="164" fontId="1" fillId="0" borderId="0" xfId="0" applyNumberFormat="1" applyFont="1" applyBorder="1" applyAlignment="1" applyProtection="1">
      <alignment horizontal="right"/>
    </xf>
    <xf numFmtId="164" fontId="0" fillId="0" borderId="19" xfId="0" applyNumberFormat="1" applyBorder="1" applyAlignment="1" applyProtection="1">
      <alignment horizontal="right"/>
    </xf>
    <xf numFmtId="14" fontId="0" fillId="0" borderId="0" xfId="0" quotePrefix="1" applyNumberFormat="1" applyBorder="1" applyAlignment="1" applyProtection="1">
      <alignment horizontal="left"/>
    </xf>
    <xf numFmtId="164" fontId="1" fillId="0" borderId="0" xfId="0" applyNumberFormat="1" applyFont="1" applyFill="1" applyBorder="1" applyAlignment="1" applyProtection="1"/>
    <xf numFmtId="164" fontId="0" fillId="0" borderId="0" xfId="0" applyNumberFormat="1" applyFill="1" applyBorder="1" applyAlignment="1" applyProtection="1"/>
    <xf numFmtId="14" fontId="7" fillId="2" borderId="8" xfId="3" applyNumberFormat="1" applyFont="1" applyFill="1" applyBorder="1" applyProtection="1"/>
    <xf numFmtId="14" fontId="7" fillId="6" borderId="8" xfId="3" applyNumberFormat="1" applyFont="1" applyFill="1" applyBorder="1" applyProtection="1"/>
    <xf numFmtId="1" fontId="8" fillId="6" borderId="8" xfId="0" applyNumberFormat="1" applyFont="1" applyFill="1" applyBorder="1" applyAlignment="1" applyProtection="1">
      <alignment horizontal="center"/>
    </xf>
    <xf numFmtId="164" fontId="6" fillId="0" borderId="8" xfId="0" applyNumberFormat="1" applyFont="1" applyBorder="1" applyProtection="1"/>
    <xf numFmtId="164" fontId="1" fillId="0" borderId="8" xfId="0" applyNumberFormat="1" applyFont="1" applyBorder="1" applyAlignment="1" applyProtection="1">
      <alignment horizontal="right"/>
    </xf>
    <xf numFmtId="164" fontId="0" fillId="0" borderId="8" xfId="0" applyNumberFormat="1" applyFill="1" applyBorder="1" applyAlignment="1" applyProtection="1"/>
    <xf numFmtId="164" fontId="1" fillId="0" borderId="8" xfId="0" applyNumberFormat="1" applyFont="1" applyFill="1" applyBorder="1" applyAlignment="1" applyProtection="1"/>
    <xf numFmtId="17" fontId="0" fillId="0" borderId="37" xfId="0" applyNumberFormat="1" applyBorder="1" applyAlignment="1" applyProtection="1">
      <alignment horizontal="center"/>
    </xf>
    <xf numFmtId="14" fontId="1" fillId="0" borderId="37" xfId="0" applyNumberFormat="1" applyFont="1" applyFill="1" applyBorder="1" applyProtection="1"/>
    <xf numFmtId="14" fontId="7" fillId="2" borderId="37" xfId="0" applyNumberFormat="1" applyFont="1" applyFill="1" applyBorder="1" applyAlignment="1" applyProtection="1">
      <alignment horizontal="left"/>
    </xf>
    <xf numFmtId="0" fontId="0" fillId="0" borderId="37" xfId="0" applyBorder="1" applyAlignment="1" applyProtection="1">
      <alignment horizontal="center"/>
    </xf>
    <xf numFmtId="14" fontId="1" fillId="0" borderId="0" xfId="0" applyNumberFormat="1" applyFont="1" applyFill="1" applyBorder="1" applyProtection="1"/>
    <xf numFmtId="0" fontId="0" fillId="0" borderId="37" xfId="0" applyBorder="1" applyProtection="1"/>
    <xf numFmtId="17" fontId="0" fillId="0" borderId="8" xfId="0" applyNumberFormat="1" applyBorder="1" applyAlignment="1" applyProtection="1">
      <alignment horizontal="center"/>
    </xf>
    <xf numFmtId="0" fontId="0" fillId="0" borderId="8" xfId="0" quotePrefix="1" applyBorder="1" applyAlignment="1" applyProtection="1">
      <alignment horizontal="left"/>
    </xf>
    <xf numFmtId="0" fontId="0" fillId="0" borderId="8" xfId="0" applyBorder="1" applyProtection="1"/>
    <xf numFmtId="14" fontId="1" fillId="0" borderId="8" xfId="0" applyNumberFormat="1" applyFont="1" applyFill="1" applyBorder="1" applyProtection="1"/>
    <xf numFmtId="14" fontId="0" fillId="0" borderId="8" xfId="0" quotePrefix="1" applyNumberFormat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1" fillId="0" borderId="8" xfId="0" applyFont="1" applyFill="1" applyBorder="1" applyAlignment="1" applyProtection="1">
      <alignment horizontal="left"/>
    </xf>
    <xf numFmtId="1" fontId="0" fillId="0" borderId="0" xfId="0" applyNumberFormat="1" applyAlignment="1" applyProtection="1">
      <alignment horizontal="center"/>
    </xf>
    <xf numFmtId="164" fontId="0" fillId="0" borderId="19" xfId="0" applyNumberForma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48" xfId="0" applyBorder="1" applyProtection="1"/>
    <xf numFmtId="166" fontId="14" fillId="0" borderId="43" xfId="0" applyNumberFormat="1" applyFont="1" applyBorder="1" applyProtection="1"/>
    <xf numFmtId="166" fontId="14" fillId="0" borderId="0" xfId="0" applyNumberFormat="1" applyFont="1" applyProtection="1"/>
    <xf numFmtId="166" fontId="14" fillId="0" borderId="44" xfId="0" applyNumberFormat="1" applyFont="1" applyBorder="1" applyProtection="1"/>
    <xf numFmtId="166" fontId="14" fillId="0" borderId="38" xfId="0" applyNumberFormat="1" applyFont="1" applyBorder="1" applyProtection="1"/>
    <xf numFmtId="166" fontId="14" fillId="0" borderId="41" xfId="0" applyNumberFormat="1" applyFont="1" applyBorder="1" applyProtection="1"/>
    <xf numFmtId="166" fontId="14" fillId="0" borderId="42" xfId="0" applyNumberFormat="1" applyFont="1" applyBorder="1" applyProtection="1"/>
    <xf numFmtId="0" fontId="0" fillId="0" borderId="49" xfId="0" applyBorder="1" applyProtection="1"/>
    <xf numFmtId="0" fontId="3" fillId="0" borderId="0" xfId="0" quotePrefix="1" applyFont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quotePrefix="1" applyBorder="1" applyAlignment="1" applyProtection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/>
    <cellStyle name="Percent" xfId="4" builtinId="5"/>
  </cellStyles>
  <dxfs count="171"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numFmt numFmtId="166" formatCode="_(* #,##0_);_(* \(#,##0\);_(* &quot;-&quot;??_);_(@_)"/>
    </dxf>
    <dxf>
      <numFmt numFmtId="35" formatCode="_(* #,##0.00_);_(* \(#,##0.00\);_(* &quot;-&quot;??_);_(@_)"/>
    </dxf>
    <dxf>
      <numFmt numFmtId="2" formatCode="0.00"/>
    </dxf>
    <dxf>
      <numFmt numFmtId="2" formatCode="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</dxf>
    <dxf>
      <numFmt numFmtId="164" formatCode="&quot;$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177040" refreshedDate="43977.517078240744" createdVersion="6" refreshedVersion="6" recordCount="192">
  <cacheSource type="worksheet">
    <worksheetSource ref="B19:R211" sheet="Transactions"/>
  </cacheSource>
  <cacheFields count="17">
    <cacheField name="Serivce Month" numFmtId="17">
      <sharedItems containsSemiMixedTypes="0" containsNonDate="0" containsDate="1" containsString="0" minDate="2010-01-01T00:00:00" maxDate="2019-12-02T00:00:00" count="120"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13-05-01T00:00:00" u="1"/>
        <d v="2014-05-01T00:00:00" u="1"/>
        <d v="2015-05-01T00:00:00" u="1"/>
        <d v="2016-05-01T00:00:00" u="1"/>
        <d v="2017-05-01T00:00:00" u="1"/>
        <d v="2018-05-01T00:00:00" u="1"/>
        <d v="2010-11-01T00:00:00" u="1"/>
        <d v="2011-11-01T00:00:00" u="1"/>
        <d v="2012-11-01T00:00:00" u="1"/>
        <d v="2013-11-01T00:00:00" u="1"/>
        <d v="2014-11-01T00:00:00" u="1"/>
        <d v="2015-11-01T00:00:00" u="1"/>
        <d v="2016-11-01T00:00:00" u="1"/>
        <d v="2017-11-01T00:00:00" u="1"/>
        <d v="2018-11-01T00:00:00" u="1"/>
        <d v="2010-06-01T00:00:00" u="1"/>
        <d v="2011-06-01T00:00:00" u="1"/>
        <d v="2012-06-01T00:00:00" u="1"/>
        <d v="2013-06-01T00:00:00" u="1"/>
        <d v="2014-06-01T00:00:00" u="1"/>
        <d v="2015-06-01T00:00:00" u="1"/>
        <d v="2016-06-01T00:00:00" u="1"/>
        <d v="2017-06-01T00:00:00" u="1"/>
        <d v="2018-06-01T00:00:00" u="1"/>
        <d v="2010-12-01T00:00:00" u="1"/>
        <d v="2011-12-01T00:00:00" u="1"/>
        <d v="2012-12-01T00:00:00" u="1"/>
        <d v="2013-12-01T00:00:00" u="1"/>
        <d v="2014-12-01T00:00:00" u="1"/>
        <d v="2015-12-01T00:00:00" u="1"/>
        <d v="2016-12-01T00:00:00" u="1"/>
        <d v="2017-12-01T00:00:00" u="1"/>
        <d v="2018-12-01T00:00:00" u="1"/>
        <d v="2010-01-01T00:00:00" u="1"/>
        <d v="2011-01-01T00:00:00" u="1"/>
        <d v="2012-01-01T00:00:00" u="1"/>
        <d v="2013-01-01T00:00:00" u="1"/>
        <d v="2014-01-01T00:00:00" u="1"/>
        <d v="2015-01-01T00:00:00" u="1"/>
        <d v="2016-01-01T00:00:00" u="1"/>
        <d v="2017-01-01T00:00:00" u="1"/>
        <d v="2018-01-01T00:00:00" u="1"/>
        <d v="2010-07-01T00:00:00" u="1"/>
        <d v="2011-07-01T00:00:00" u="1"/>
        <d v="2012-07-01T00:00:00" u="1"/>
        <d v="2013-07-01T00:00:00" u="1"/>
        <d v="2014-07-01T00:00:00" u="1"/>
        <d v="2015-07-01T00:00:00" u="1"/>
        <d v="2016-07-01T00:00:00" u="1"/>
        <d v="2017-07-01T00:00:00" u="1"/>
        <d v="2018-07-01T00:00:00" u="1"/>
        <d v="2010-02-01T00:00:00" u="1"/>
        <d v="2011-02-01T00:00:00" u="1"/>
        <d v="2012-02-01T00:00:00" u="1"/>
        <d v="2013-02-01T00:00:00" u="1"/>
        <d v="2014-02-01T00:00:00" u="1"/>
        <d v="2015-02-01T00:00:00" u="1"/>
        <d v="2016-02-01T00:00:00" u="1"/>
        <d v="2017-02-01T00:00:00" u="1"/>
        <d v="2018-02-01T00:00:00" u="1"/>
        <d v="2010-08-01T00:00:00" u="1"/>
        <d v="2011-08-01T00:00:00" u="1"/>
        <d v="2012-08-01T00:00:00" u="1"/>
        <d v="2013-08-01T00:00:00" u="1"/>
        <d v="2014-08-01T00:00:00" u="1"/>
        <d v="2015-08-01T00:00:00" u="1"/>
        <d v="2016-08-01T00:00:00" u="1"/>
        <d v="2017-08-01T00:00:00" u="1"/>
        <d v="2018-08-01T00:00:00" u="1"/>
        <d v="2010-03-01T00:00:00" u="1"/>
        <d v="2011-03-01T00:00:00" u="1"/>
        <d v="2012-03-01T00:00:00" u="1"/>
        <d v="2013-03-01T00:00:00" u="1"/>
        <d v="2014-03-01T00:00:00" u="1"/>
        <d v="2015-03-01T00:00:00" u="1"/>
        <d v="2016-03-01T00:00:00" u="1"/>
        <d v="2017-03-01T00:00:00" u="1"/>
        <d v="2018-03-01T00:00:00" u="1"/>
        <d v="2010-09-01T00:00:00" u="1"/>
        <d v="2011-09-01T00:00:00" u="1"/>
        <d v="2012-09-01T00:00:00" u="1"/>
        <d v="2013-09-01T00:00:00" u="1"/>
        <d v="2014-09-01T00:00:00" u="1"/>
        <d v="2015-09-01T00:00:00" u="1"/>
        <d v="2016-09-01T00:00:00" u="1"/>
        <d v="2017-09-01T00:00:00" u="1"/>
        <d v="2018-09-01T00:00:00" u="1"/>
        <d v="2010-04-01T00:00:00" u="1"/>
        <d v="2011-04-01T00:00:00" u="1"/>
        <d v="2012-04-01T00:00:00" u="1"/>
        <d v="2013-04-01T00:00:00" u="1"/>
        <d v="2014-04-01T00:00:00" u="1"/>
        <d v="2015-04-01T00:00:00" u="1"/>
        <d v="2016-04-01T00:00:00" u="1"/>
        <d v="2017-04-01T00:00:00" u="1"/>
        <d v="2018-04-01T00:00:00" u="1"/>
        <d v="2010-10-01T00:00:00" u="1"/>
        <d v="2011-10-01T00:00:00" u="1"/>
        <d v="2012-10-01T00:00:00" u="1"/>
        <d v="2013-10-01T00:00:00" u="1"/>
        <d v="2014-10-01T00:00:00" u="1"/>
        <d v="2015-10-01T00:00:00" u="1"/>
        <d v="2016-10-01T00:00:00" u="1"/>
        <d v="2017-10-01T00:00:00" u="1"/>
        <d v="2018-10-01T00:00:00" u="1"/>
        <d v="2010-05-01T00:00:00" u="1"/>
        <d v="2011-05-01T00:00:00" u="1"/>
        <d v="2012-05-01T00:00:00" u="1"/>
      </sharedItems>
    </cacheField>
    <cacheField name="Billing_x000a_Date*" numFmtId="14">
      <sharedItems containsSemiMixedTypes="0" containsNonDate="0" containsDate="1" containsString="0" minDate="2019-02-05T00:00:00" maxDate="2020-01-04T00:00:00"/>
    </cacheField>
    <cacheField name="Payment Received*" numFmtId="14">
      <sharedItems containsSemiMixedTypes="0" containsNonDate="0" containsDate="1" containsString="0" minDate="2019-02-20T00:00:00" maxDate="2020-01-21T00:00:00"/>
    </cacheField>
    <cacheField name="Customer" numFmtId="0">
      <sharedItems count="22">
        <s v="PSO"/>
        <s v="SWEPCO"/>
        <s v="SWEPCO-Valley"/>
        <s v="AECC"/>
        <s v="AECI"/>
        <s v="WFEC"/>
        <s v="OMPA"/>
        <s v="OG&amp;E"/>
        <s v="ETEC"/>
        <s v="Greenbelt"/>
        <s v="Lighthouse"/>
        <s v="Bentonville, AR"/>
        <s v="Prescott, AR"/>
        <s v="Minden, LA"/>
        <s v="Hope, AR"/>
        <s v="Coffeyville, KS"/>
        <s v="Bentonville" u="1"/>
        <s v="Hope" u="1"/>
        <s v="NTEC" u="1"/>
        <s v="TEXLA" u="1"/>
        <s v="Prescott" u="1"/>
        <s v="Minden" u="1"/>
      </sharedItems>
    </cacheField>
    <cacheField name="Sched." numFmtId="0">
      <sharedItems containsSemiMixedTypes="0" containsString="0" containsNumber="1" containsInteger="1" minValue="9" maxValue="9"/>
    </cacheField>
    <cacheField name="MW" numFmtId="1">
      <sharedItems containsSemiMixedTypes="0" containsString="0" containsNumber="1" minValue="1" maxValue="4089"/>
    </cacheField>
    <cacheField name="Projected Rate (as Invoiced)" numFmtId="164">
      <sharedItems containsSemiMixedTypes="0" containsString="0" containsNumber="1" minValue="1696.78" maxValue="1696.78"/>
    </cacheField>
    <cacheField name="Actual True-Up Rate" numFmtId="164">
      <sharedItems containsSemiMixedTypes="0" containsString="0" containsNumber="1" minValue="1541.07" maxValue="1541.07"/>
    </cacheField>
    <cacheField name="True-Up Charge" numFmtId="164">
      <sharedItems containsSemiMixedTypes="0" containsString="0" containsNumber="1" minValue="1541.07" maxValue="6301435.2299999995"/>
    </cacheField>
    <cacheField name="Invoiced*** Charge (proj.)" numFmtId="164">
      <sharedItems containsSemiMixedTypes="0" containsString="0" containsNumber="1" minValue="1696.78" maxValue="6938133.4199999999"/>
    </cacheField>
    <cacheField name="True-Up w/o Interest" numFmtId="164">
      <sharedItems containsSemiMixedTypes="0" containsString="0" containsNumber="1" minValue="-636698.19000000041" maxValue="-155.71000000000004"/>
    </cacheField>
    <cacheField name="Interest" numFmtId="164">
      <sharedItems containsSemiMixedTypes="0" containsString="0" containsNumber="1" minValue="-31976.773315623206" maxValue="-7.8201940121357811"/>
    </cacheField>
    <cacheField name="2019 True Up Including Interest" numFmtId="164">
      <sharedItems containsSemiMixedTypes="0" containsString="0" containsNumber="1" minValue="-668674.96331562358" maxValue="-163.53019401213581"/>
    </cacheField>
    <cacheField name="Tax Rebilling Rate" numFmtId="164">
      <sharedItems containsSemiMixedTypes="0" containsString="0" containsNumber="1" containsInteger="1" minValue="0" maxValue="0"/>
    </cacheField>
    <cacheField name="Tax True Up Billing" numFmtId="164">
      <sharedItems containsSemiMixedTypes="0" containsString="0" containsNumber="1" containsInteger="1" minValue="0" maxValue="0"/>
    </cacheField>
    <cacheField name="Tax True Up" numFmtId="164">
      <sharedItems containsSemiMixedTypes="0" containsString="0" containsNumber="1" containsInteger="1" minValue="0" maxValue="0"/>
    </cacheField>
    <cacheField name="Total True-up" numFmtId="164">
      <sharedItems containsSemiMixedTypes="0" containsString="0" containsNumber="1" minValue="-668674.96331562358" maxValue="-163.5301940121358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2">
  <r>
    <x v="0"/>
    <d v="2019-02-05T00:00:00"/>
    <d v="2019-02-20T00:00:00"/>
    <x v="0"/>
    <n v="9"/>
    <n v="2561"/>
    <n v="1696.78"/>
    <n v="1541.07"/>
    <n v="3946680.27"/>
    <n v="4345453.58"/>
    <n v="-398773.31000000006"/>
    <n v="-20027.516865079735"/>
    <n v="-418800.82686507981"/>
    <n v="0"/>
    <n v="0"/>
    <n v="0"/>
    <n v="-418800.82686507981"/>
  </r>
  <r>
    <x v="1"/>
    <d v="2019-03-05T00:00:00"/>
    <d v="2019-03-20T00:00:00"/>
    <x v="0"/>
    <n v="9"/>
    <n v="2792"/>
    <n v="1696.78"/>
    <n v="1541.07"/>
    <n v="4302667.4399999995"/>
    <n v="4737409.76"/>
    <n v="-434742.3200000003"/>
    <n v="-21833.981681883099"/>
    <n v="-456576.3016818834"/>
    <n v="0"/>
    <n v="0"/>
    <n v="0"/>
    <n v="-456576.3016818834"/>
  </r>
  <r>
    <x v="2"/>
    <d v="2019-04-03T00:00:00"/>
    <d v="2019-04-18T00:00:00"/>
    <x v="0"/>
    <n v="9"/>
    <n v="2805"/>
    <n v="1696.78"/>
    <n v="1541.07"/>
    <n v="4322701.3499999996"/>
    <n v="4759467.9000000004"/>
    <n v="-436766.55000000075"/>
    <n v="-21935.644204040866"/>
    <n v="-458702.19420404162"/>
    <n v="0"/>
    <n v="0"/>
    <n v="0"/>
    <n v="-458702.19420404162"/>
  </r>
  <r>
    <x v="3"/>
    <d v="2019-05-03T00:00:00"/>
    <d v="2019-05-20T00:00:00"/>
    <x v="0"/>
    <n v="9"/>
    <n v="2574"/>
    <n v="1696.78"/>
    <n v="1541.07"/>
    <n v="3966714.1799999997"/>
    <n v="4367511.72"/>
    <n v="-400797.54000000004"/>
    <n v="-20129.179387237502"/>
    <n v="-420926.71938723756"/>
    <n v="0"/>
    <n v="0"/>
    <n v="0"/>
    <n v="-420926.71938723756"/>
  </r>
  <r>
    <x v="4"/>
    <d v="2019-06-05T00:00:00"/>
    <d v="2019-06-20T00:00:00"/>
    <x v="0"/>
    <n v="9"/>
    <n v="2970"/>
    <n v="1696.78"/>
    <n v="1541.07"/>
    <n v="4576977.8999999994"/>
    <n v="5039436.5999999996"/>
    <n v="-462458.70000000019"/>
    <n v="-23225.976216043269"/>
    <n v="-485684.67621604347"/>
    <n v="0"/>
    <n v="0"/>
    <n v="0"/>
    <n v="-485684.67621604347"/>
  </r>
  <r>
    <x v="5"/>
    <d v="2019-07-03T00:00:00"/>
    <d v="2019-07-18T00:00:00"/>
    <x v="0"/>
    <n v="9"/>
    <n v="3724"/>
    <n v="1696.78"/>
    <n v="1541.07"/>
    <n v="5738944.6799999997"/>
    <n v="6318808.7199999997"/>
    <n v="-579864.04"/>
    <n v="-29122.402501193646"/>
    <n v="-608986.44250119373"/>
    <n v="0"/>
    <n v="0"/>
    <n v="0"/>
    <n v="-608986.44250119373"/>
  </r>
  <r>
    <x v="6"/>
    <d v="2019-08-05T00:00:00"/>
    <d v="2019-08-20T00:00:00"/>
    <x v="0"/>
    <n v="9"/>
    <n v="3923"/>
    <n v="1696.78"/>
    <n v="1541.07"/>
    <n v="6045617.6099999994"/>
    <n v="6656467.9399999995"/>
    <n v="-610850.33000000007"/>
    <n v="-30678.62110960867"/>
    <n v="-641528.95110960875"/>
    <n v="0"/>
    <n v="0"/>
    <n v="0"/>
    <n v="-641528.95110960875"/>
  </r>
  <r>
    <x v="7"/>
    <d v="2019-09-04T00:00:00"/>
    <d v="2019-09-19T00:00:00"/>
    <x v="0"/>
    <n v="9"/>
    <n v="4089"/>
    <n v="1696.78"/>
    <n v="1541.07"/>
    <n v="6301435.2299999995"/>
    <n v="6938133.4199999999"/>
    <n v="-636698.19000000041"/>
    <n v="-31976.773315623206"/>
    <n v="-668674.96331562358"/>
    <n v="0"/>
    <n v="0"/>
    <n v="0"/>
    <n v="-668674.96331562358"/>
  </r>
  <r>
    <x v="8"/>
    <d v="2019-10-03T00:00:00"/>
    <d v="2019-10-18T00:00:00"/>
    <x v="0"/>
    <n v="9"/>
    <n v="3731"/>
    <n v="1696.78"/>
    <n v="1541.07"/>
    <n v="5749732.1699999999"/>
    <n v="6330686.1799999997"/>
    <n v="-580954.00999999978"/>
    <n v="-29177.143859278596"/>
    <n v="-610131.15385927842"/>
    <n v="0"/>
    <n v="0"/>
    <n v="0"/>
    <n v="-610131.15385927842"/>
  </r>
  <r>
    <x v="9"/>
    <d v="2019-11-05T00:00:00"/>
    <d v="2019-11-20T00:00:00"/>
    <x v="0"/>
    <n v="9"/>
    <n v="3527"/>
    <n v="1696.78"/>
    <n v="1541.07"/>
    <n v="5435353.8899999997"/>
    <n v="5984543.0599999996"/>
    <n v="-549189.16999999993"/>
    <n v="-27581.824280802903"/>
    <n v="-576770.99428080278"/>
    <n v="0"/>
    <n v="0"/>
    <n v="0"/>
    <n v="-576770.99428080278"/>
  </r>
  <r>
    <x v="10"/>
    <d v="2019-12-04T00:00:00"/>
    <d v="2019-12-19T00:00:00"/>
    <x v="0"/>
    <n v="9"/>
    <n v="2569"/>
    <n v="1696.78"/>
    <n v="1541.07"/>
    <n v="3959008.8299999996"/>
    <n v="4359027.82"/>
    <n v="-400018.99000000069"/>
    <n v="-20090.078417176821"/>
    <n v="-420109.06841717754"/>
    <n v="0"/>
    <n v="0"/>
    <n v="0"/>
    <n v="-420109.06841717754"/>
  </r>
  <r>
    <x v="11"/>
    <d v="2020-01-03T00:00:00"/>
    <d v="2020-01-20T00:00:00"/>
    <x v="0"/>
    <n v="9"/>
    <n v="2599"/>
    <n v="1696.78"/>
    <n v="1541.07"/>
    <n v="4005240.9299999997"/>
    <n v="4409931.22"/>
    <n v="-404690.29000000004"/>
    <n v="-20324.684237540896"/>
    <n v="-425014.97423754091"/>
    <n v="0"/>
    <n v="0"/>
    <n v="0"/>
    <n v="-425014.97423754091"/>
  </r>
  <r>
    <x v="0"/>
    <d v="2019-02-05T00:00:00"/>
    <d v="2019-02-20T00:00:00"/>
    <x v="1"/>
    <n v="9"/>
    <n v="2997"/>
    <n v="1696.78"/>
    <n v="1541.07"/>
    <n v="4618586.79"/>
    <n v="5085249.66"/>
    <n v="-466662.87000000011"/>
    <n v="-23437.121454370936"/>
    <n v="-490099.99145437102"/>
    <n v="0"/>
    <n v="0"/>
    <n v="0"/>
    <n v="-490099.99145437102"/>
  </r>
  <r>
    <x v="1"/>
    <d v="2019-03-05T00:00:00"/>
    <d v="2019-03-20T00:00:00"/>
    <x v="1"/>
    <n v="9"/>
    <n v="2891"/>
    <n v="1696.78"/>
    <n v="1541.07"/>
    <n v="4455233.37"/>
    <n v="4905390.9799999995"/>
    <n v="-450157.6099999994"/>
    <n v="-22608.180889084542"/>
    <n v="-472765.79088908393"/>
    <n v="0"/>
    <n v="0"/>
    <n v="0"/>
    <n v="-472765.79088908393"/>
  </r>
  <r>
    <x v="2"/>
    <d v="2019-04-03T00:00:00"/>
    <d v="2019-04-18T00:00:00"/>
    <x v="1"/>
    <n v="9"/>
    <n v="2972"/>
    <n v="1696.78"/>
    <n v="1541.07"/>
    <n v="4580060.04"/>
    <n v="5042830.16"/>
    <n v="-462770.12000000011"/>
    <n v="-23241.616604067542"/>
    <n v="-486011.73660406767"/>
    <n v="0"/>
    <n v="0"/>
    <n v="0"/>
    <n v="-486011.73660406767"/>
  </r>
  <r>
    <x v="3"/>
    <d v="2019-05-03T00:00:00"/>
    <d v="2019-05-20T00:00:00"/>
    <x v="1"/>
    <n v="9"/>
    <n v="2449"/>
    <n v="1696.78"/>
    <n v="1541.07"/>
    <n v="3774080.4299999997"/>
    <n v="4155414.2199999997"/>
    <n v="-381333.79000000004"/>
    <n v="-19151.655135720528"/>
    <n v="-400485.44513572054"/>
    <n v="0"/>
    <n v="0"/>
    <n v="0"/>
    <n v="-400485.44513572054"/>
  </r>
  <r>
    <x v="4"/>
    <d v="2019-06-05T00:00:00"/>
    <d v="2019-06-20T00:00:00"/>
    <x v="1"/>
    <n v="9"/>
    <n v="3052"/>
    <n v="1696.78"/>
    <n v="1541.07"/>
    <n v="4703345.6399999997"/>
    <n v="5178572.5599999996"/>
    <n v="-475226.91999999993"/>
    <n v="-23867.232125038405"/>
    <n v="-499094.15212503832"/>
    <n v="0"/>
    <n v="0"/>
    <n v="0"/>
    <n v="-499094.15212503832"/>
  </r>
  <r>
    <x v="5"/>
    <d v="2019-07-03T00:00:00"/>
    <d v="2019-07-18T00:00:00"/>
    <x v="1"/>
    <n v="9"/>
    <n v="3362"/>
    <n v="1696.78"/>
    <n v="1541.07"/>
    <n v="5181077.34"/>
    <n v="5704574.3600000003"/>
    <n v="-523497.02000000048"/>
    <n v="-26291.492268800499"/>
    <n v="-549788.51226880099"/>
    <n v="0"/>
    <n v="0"/>
    <n v="0"/>
    <n v="-549788.51226880099"/>
  </r>
  <r>
    <x v="6"/>
    <d v="2019-08-05T00:00:00"/>
    <d v="2019-08-20T00:00:00"/>
    <x v="1"/>
    <n v="9"/>
    <n v="3457"/>
    <n v="1696.78"/>
    <n v="1541.07"/>
    <n v="5327478.99"/>
    <n v="5865768.46"/>
    <n v="-538289.46999999974"/>
    <n v="-27034.410699953398"/>
    <n v="-565323.88069995318"/>
    <n v="0"/>
    <n v="0"/>
    <n v="0"/>
    <n v="-565323.88069995318"/>
  </r>
  <r>
    <x v="7"/>
    <d v="2019-09-04T00:00:00"/>
    <d v="2019-09-19T00:00:00"/>
    <x v="1"/>
    <n v="9"/>
    <n v="3664"/>
    <n v="1696.78"/>
    <n v="1541.07"/>
    <n v="5646480.4799999995"/>
    <n v="6217001.9199999999"/>
    <n v="-570521.44000000041"/>
    <n v="-28653.1908604655"/>
    <n v="-599174.63086046593"/>
    <n v="0"/>
    <n v="0"/>
    <n v="0"/>
    <n v="-599174.63086046593"/>
  </r>
  <r>
    <x v="8"/>
    <d v="2019-10-03T00:00:00"/>
    <d v="2019-10-18T00:00:00"/>
    <x v="1"/>
    <n v="9"/>
    <n v="3474"/>
    <n v="1696.78"/>
    <n v="1541.07"/>
    <n v="5353677.18"/>
    <n v="5894613.7199999997"/>
    <n v="-540936.54"/>
    <n v="-27167.353998159706"/>
    <n v="-568103.89399815979"/>
    <n v="0"/>
    <n v="0"/>
    <n v="0"/>
    <n v="-568103.89399815979"/>
  </r>
  <r>
    <x v="9"/>
    <d v="2019-11-05T00:00:00"/>
    <d v="2019-11-20T00:00:00"/>
    <x v="1"/>
    <n v="9"/>
    <n v="3301"/>
    <n v="1696.78"/>
    <n v="1541.07"/>
    <n v="5087072.0699999994"/>
    <n v="5601070.7800000003"/>
    <n v="-513998.71000000089"/>
    <n v="-25814.460434060216"/>
    <n v="-539813.17043406109"/>
    <n v="0"/>
    <n v="0"/>
    <n v="0"/>
    <n v="-539813.17043406109"/>
  </r>
  <r>
    <x v="10"/>
    <d v="2019-12-04T00:00:00"/>
    <d v="2019-12-19T00:00:00"/>
    <x v="1"/>
    <n v="9"/>
    <n v="2932"/>
    <n v="1696.78"/>
    <n v="1541.07"/>
    <n v="4518417.24"/>
    <n v="4974958.96"/>
    <n v="-456541.71999999974"/>
    <n v="-22928.808843582112"/>
    <n v="-479470.52884358185"/>
    <n v="0"/>
    <n v="0"/>
    <n v="0"/>
    <n v="-479470.52884358185"/>
  </r>
  <r>
    <x v="11"/>
    <d v="2020-01-03T00:00:00"/>
    <d v="2020-01-20T00:00:00"/>
    <x v="1"/>
    <n v="9"/>
    <n v="2839"/>
    <n v="1696.78"/>
    <n v="1541.07"/>
    <n v="4375097.7299999995"/>
    <n v="4817158.42"/>
    <n v="-442060.69000000041"/>
    <n v="-22201.530800453482"/>
    <n v="-464262.22080045391"/>
    <n v="0"/>
    <n v="0"/>
    <n v="0"/>
    <n v="-464262.22080045391"/>
  </r>
  <r>
    <x v="0"/>
    <d v="2019-02-05T00:00:00"/>
    <d v="2019-02-20T00:00:00"/>
    <x v="2"/>
    <n v="9"/>
    <n v="157"/>
    <n v="1696.78"/>
    <n v="1541.07"/>
    <n v="241947.99"/>
    <n v="266394.46000000002"/>
    <n v="-24446.47000000003"/>
    <n v="-1227.7704599053177"/>
    <n v="-25674.240459905348"/>
    <n v="0"/>
    <n v="0"/>
    <n v="0"/>
    <n v="-25674.240459905348"/>
  </r>
  <r>
    <x v="1"/>
    <d v="2019-03-05T00:00:00"/>
    <d v="2019-03-20T00:00:00"/>
    <x v="2"/>
    <n v="9"/>
    <n v="138"/>
    <n v="1696.78"/>
    <n v="1541.07"/>
    <n v="212667.66"/>
    <n v="234155.63999999998"/>
    <n v="-21487.979999999981"/>
    <n v="-1079.1867736747377"/>
    <n v="-22567.166773674719"/>
    <n v="0"/>
    <n v="0"/>
    <n v="0"/>
    <n v="-22567.166773674719"/>
  </r>
  <r>
    <x v="2"/>
    <d v="2019-04-03T00:00:00"/>
    <d v="2019-04-18T00:00:00"/>
    <x v="2"/>
    <n v="9"/>
    <n v="153"/>
    <n v="1696.78"/>
    <n v="1541.07"/>
    <n v="235783.71"/>
    <n v="259607.34"/>
    <n v="-23823.630000000005"/>
    <n v="-1196.4896838567745"/>
    <n v="-25020.119683856778"/>
    <n v="0"/>
    <n v="0"/>
    <n v="0"/>
    <n v="-25020.119683856778"/>
  </r>
  <r>
    <x v="3"/>
    <d v="2019-05-03T00:00:00"/>
    <d v="2019-05-20T00:00:00"/>
    <x v="2"/>
    <n v="9"/>
    <n v="85"/>
    <n v="1696.78"/>
    <n v="1541.07"/>
    <n v="130990.95"/>
    <n v="144226.29999999999"/>
    <n v="-13235.349999999991"/>
    <n v="-664.71649103154141"/>
    <n v="-13900.066491031532"/>
    <n v="0"/>
    <n v="0"/>
    <n v="0"/>
    <n v="-13900.066491031532"/>
  </r>
  <r>
    <x v="4"/>
    <d v="2019-06-05T00:00:00"/>
    <d v="2019-06-20T00:00:00"/>
    <x v="2"/>
    <n v="9"/>
    <n v="115"/>
    <n v="1696.78"/>
    <n v="1541.07"/>
    <n v="177223.05"/>
    <n v="195129.69999999998"/>
    <n v="-17906.649999999994"/>
    <n v="-899.32231139561475"/>
    <n v="-18805.97231139561"/>
    <n v="0"/>
    <n v="0"/>
    <n v="0"/>
    <n v="-18805.97231139561"/>
  </r>
  <r>
    <x v="5"/>
    <d v="2019-07-03T00:00:00"/>
    <d v="2019-07-18T00:00:00"/>
    <x v="2"/>
    <n v="9"/>
    <n v="119"/>
    <n v="1696.78"/>
    <n v="1541.07"/>
    <n v="183387.33"/>
    <n v="201916.82"/>
    <n v="-18529.49000000002"/>
    <n v="-930.60308744415806"/>
    <n v="-19460.093087444176"/>
    <n v="0"/>
    <n v="0"/>
    <n v="0"/>
    <n v="-19460.093087444176"/>
  </r>
  <r>
    <x v="6"/>
    <d v="2019-08-05T00:00:00"/>
    <d v="2019-08-20T00:00:00"/>
    <x v="2"/>
    <n v="9"/>
    <n v="136"/>
    <n v="1696.78"/>
    <n v="1541.07"/>
    <n v="209585.52"/>
    <n v="230762.08"/>
    <n v="-21176.559999999998"/>
    <n v="-1063.5463856504664"/>
    <n v="-22240.106385650462"/>
    <n v="0"/>
    <n v="0"/>
    <n v="0"/>
    <n v="-22240.106385650462"/>
  </r>
  <r>
    <x v="7"/>
    <d v="2019-09-04T00:00:00"/>
    <d v="2019-09-19T00:00:00"/>
    <x v="2"/>
    <n v="9"/>
    <n v="141"/>
    <n v="1696.78"/>
    <n v="1541.07"/>
    <n v="217290.87"/>
    <n v="239245.98"/>
    <n v="-21955.110000000015"/>
    <n v="-1102.6473557111451"/>
    <n v="-23057.757355711161"/>
    <n v="0"/>
    <n v="0"/>
    <n v="0"/>
    <n v="-23057.757355711161"/>
  </r>
  <r>
    <x v="8"/>
    <d v="2019-10-03T00:00:00"/>
    <d v="2019-10-18T00:00:00"/>
    <x v="2"/>
    <n v="9"/>
    <n v="137"/>
    <n v="1696.78"/>
    <n v="1541.07"/>
    <n v="211126.59"/>
    <n v="232458.86"/>
    <n v="-21332.26999999999"/>
    <n v="-1071.3665796626019"/>
    <n v="-22403.636579662591"/>
    <n v="0"/>
    <n v="0"/>
    <n v="0"/>
    <n v="-22403.636579662591"/>
  </r>
  <r>
    <x v="9"/>
    <d v="2019-11-05T00:00:00"/>
    <d v="2019-11-20T00:00:00"/>
    <x v="2"/>
    <n v="9"/>
    <n v="125"/>
    <n v="1696.78"/>
    <n v="1541.07"/>
    <n v="192633.75"/>
    <n v="212097.5"/>
    <n v="-19463.75"/>
    <n v="-977.52425151697253"/>
    <n v="-20441.274251516974"/>
    <n v="0"/>
    <n v="0"/>
    <n v="0"/>
    <n v="-20441.274251516974"/>
  </r>
  <r>
    <x v="10"/>
    <d v="2019-12-04T00:00:00"/>
    <d v="2019-12-19T00:00:00"/>
    <x v="2"/>
    <n v="9"/>
    <n v="157"/>
    <n v="1696.78"/>
    <n v="1541.07"/>
    <n v="241947.99"/>
    <n v="266394.46000000002"/>
    <n v="-24446.47000000003"/>
    <n v="-1227.7704599053177"/>
    <n v="-25674.240459905348"/>
    <n v="0"/>
    <n v="0"/>
    <n v="0"/>
    <n v="-25674.240459905348"/>
  </r>
  <r>
    <x v="11"/>
    <d v="2020-01-03T00:00:00"/>
    <d v="2020-01-20T00:00:00"/>
    <x v="2"/>
    <n v="9"/>
    <n v="152"/>
    <n v="1696.78"/>
    <n v="1541.07"/>
    <n v="234242.63999999998"/>
    <n v="257910.56"/>
    <n v="-23667.920000000013"/>
    <n v="-1188.6694898446387"/>
    <n v="-24856.589489844653"/>
    <n v="0"/>
    <n v="0"/>
    <n v="0"/>
    <n v="-24856.589489844653"/>
  </r>
  <r>
    <x v="0"/>
    <d v="2019-02-05T00:00:00"/>
    <d v="2019-02-20T00:00:00"/>
    <x v="3"/>
    <n v="9"/>
    <n v="765"/>
    <n v="1696.78"/>
    <n v="1541.07"/>
    <n v="1178918.55"/>
    <n v="1298036.7"/>
    <n v="-119118.14999999991"/>
    <n v="-5982.4484192838727"/>
    <n v="-125100.59841928378"/>
    <n v="0"/>
    <n v="0"/>
    <n v="0"/>
    <n v="-125100.59841928378"/>
  </r>
  <r>
    <x v="1"/>
    <d v="2019-03-05T00:00:00"/>
    <d v="2019-03-20T00:00:00"/>
    <x v="3"/>
    <n v="9"/>
    <n v="823"/>
    <n v="1696.78"/>
    <n v="1541.07"/>
    <n v="1268300.6099999999"/>
    <n v="1396449.94"/>
    <n v="-128149.33000000007"/>
    <n v="-6436.0196719877476"/>
    <n v="-134585.34967198782"/>
    <n v="0"/>
    <n v="0"/>
    <n v="0"/>
    <n v="-134585.34967198782"/>
  </r>
  <r>
    <x v="2"/>
    <d v="2019-04-03T00:00:00"/>
    <d v="2019-04-18T00:00:00"/>
    <x v="3"/>
    <n v="9"/>
    <n v="810"/>
    <n v="1696.78"/>
    <n v="1541.07"/>
    <n v="1248266.7"/>
    <n v="1374391.8"/>
    <n v="-126125.10000000009"/>
    <n v="-6334.3571498299825"/>
    <n v="-132459.45714983006"/>
    <n v="0"/>
    <n v="0"/>
    <n v="0"/>
    <n v="-132459.45714983006"/>
  </r>
  <r>
    <x v="3"/>
    <d v="2019-05-03T00:00:00"/>
    <d v="2019-05-20T00:00:00"/>
    <x v="3"/>
    <n v="9"/>
    <n v="488"/>
    <n v="1696.78"/>
    <n v="1541.07"/>
    <n v="752042.15999999992"/>
    <n v="828028.64"/>
    <n v="-75986.480000000098"/>
    <n v="-3816.2546779222616"/>
    <n v="-79802.734677922359"/>
    <n v="0"/>
    <n v="0"/>
    <n v="0"/>
    <n v="-79802.734677922359"/>
  </r>
  <r>
    <x v="4"/>
    <d v="2019-06-05T00:00:00"/>
    <d v="2019-06-20T00:00:00"/>
    <x v="3"/>
    <n v="9"/>
    <n v="697"/>
    <n v="1696.78"/>
    <n v="1541.07"/>
    <n v="1074125.79"/>
    <n v="1182655.6599999999"/>
    <n v="-108529.86999999988"/>
    <n v="-5450.6752264586394"/>
    <n v="-113980.54522645852"/>
    <n v="0"/>
    <n v="0"/>
    <n v="0"/>
    <n v="-113980.54522645852"/>
  </r>
  <r>
    <x v="5"/>
    <d v="2019-07-03T00:00:00"/>
    <d v="2019-07-18T00:00:00"/>
    <x v="3"/>
    <n v="9"/>
    <n v="805"/>
    <n v="1696.78"/>
    <n v="1541.07"/>
    <n v="1240561.3499999999"/>
    <n v="1365907.9"/>
    <n v="-125346.55000000005"/>
    <n v="-6295.2561797693033"/>
    <n v="-131641.80617976934"/>
    <n v="0"/>
    <n v="0"/>
    <n v="0"/>
    <n v="-131641.80617976934"/>
  </r>
  <r>
    <x v="6"/>
    <d v="2019-08-05T00:00:00"/>
    <d v="2019-08-20T00:00:00"/>
    <x v="3"/>
    <n v="9"/>
    <n v="840"/>
    <n v="1696.78"/>
    <n v="1541.07"/>
    <n v="1294498.8"/>
    <n v="1425295.2"/>
    <n v="-130796.39999999991"/>
    <n v="-6568.9629701940557"/>
    <n v="-137365.36297019396"/>
    <n v="0"/>
    <n v="0"/>
    <n v="0"/>
    <n v="-137365.36297019396"/>
  </r>
  <r>
    <x v="7"/>
    <d v="2019-09-04T00:00:00"/>
    <d v="2019-09-19T00:00:00"/>
    <x v="3"/>
    <n v="9"/>
    <n v="890"/>
    <n v="1696.78"/>
    <n v="1541.07"/>
    <n v="1371552.3"/>
    <n v="1510134.2"/>
    <n v="-138581.89999999991"/>
    <n v="-6959.9726708008448"/>
    <n v="-145541.87267080075"/>
    <n v="0"/>
    <n v="0"/>
    <n v="0"/>
    <n v="-145541.87267080075"/>
  </r>
  <r>
    <x v="8"/>
    <d v="2019-10-03T00:00:00"/>
    <d v="2019-10-18T00:00:00"/>
    <x v="3"/>
    <n v="9"/>
    <n v="818"/>
    <n v="1696.78"/>
    <n v="1541.07"/>
    <n v="1260595.26"/>
    <n v="1387966.04"/>
    <n v="-127370.78000000003"/>
    <n v="-6396.9187019270694"/>
    <n v="-133767.69870192709"/>
    <n v="0"/>
    <n v="0"/>
    <n v="0"/>
    <n v="-133767.69870192709"/>
  </r>
  <r>
    <x v="9"/>
    <d v="2019-11-05T00:00:00"/>
    <d v="2019-11-20T00:00:00"/>
    <x v="3"/>
    <n v="9"/>
    <n v="759"/>
    <n v="1696.78"/>
    <n v="1541.07"/>
    <n v="1169672.1299999999"/>
    <n v="1287856.02"/>
    <n v="-118183.89000000013"/>
    <n v="-5935.5272552110582"/>
    <n v="-124119.41725521118"/>
    <n v="0"/>
    <n v="0"/>
    <n v="0"/>
    <n v="-124119.41725521118"/>
  </r>
  <r>
    <x v="10"/>
    <d v="2019-12-04T00:00:00"/>
    <d v="2019-12-19T00:00:00"/>
    <x v="3"/>
    <n v="9"/>
    <n v="740"/>
    <n v="1696.78"/>
    <n v="1541.07"/>
    <n v="1140391.8"/>
    <n v="1255617.2"/>
    <n v="-115225.39999999991"/>
    <n v="-5786.9435689804777"/>
    <n v="-121012.34356898039"/>
    <n v="0"/>
    <n v="0"/>
    <n v="0"/>
    <n v="-121012.34356898039"/>
  </r>
  <r>
    <x v="11"/>
    <d v="2020-01-03T00:00:00"/>
    <d v="2020-01-20T00:00:00"/>
    <x v="3"/>
    <n v="9"/>
    <n v="752"/>
    <n v="1696.78"/>
    <n v="1541.07"/>
    <n v="1158884.6399999999"/>
    <n v="1275978.56"/>
    <n v="-117093.92000000016"/>
    <n v="-5880.7858971261076"/>
    <n v="-122974.70589712626"/>
    <n v="0"/>
    <n v="0"/>
    <n v="0"/>
    <n v="-122974.70589712626"/>
  </r>
  <r>
    <x v="0"/>
    <d v="2019-02-05T00:00:00"/>
    <d v="2019-02-20T00:00:00"/>
    <x v="4"/>
    <n v="9"/>
    <n v="38"/>
    <n v="1696.78"/>
    <n v="1541.07"/>
    <n v="58560.659999999996"/>
    <n v="64477.64"/>
    <n v="-5916.9800000000032"/>
    <n v="-297.16737246115969"/>
    <n v="-6214.1473724611633"/>
    <n v="0"/>
    <n v="0"/>
    <n v="0"/>
    <n v="-6214.1473724611633"/>
  </r>
  <r>
    <x v="1"/>
    <d v="2019-03-05T00:00:00"/>
    <d v="2019-03-20T00:00:00"/>
    <x v="4"/>
    <n v="9"/>
    <n v="43"/>
    <n v="1696.78"/>
    <n v="1541.07"/>
    <n v="66266.009999999995"/>
    <n v="72961.539999999994"/>
    <n v="-6695.5299999999988"/>
    <n v="-336.26834252183863"/>
    <n v="-7031.7983425218372"/>
    <n v="0"/>
    <n v="0"/>
    <n v="0"/>
    <n v="-7031.7983425218372"/>
  </r>
  <r>
    <x v="2"/>
    <d v="2019-04-03T00:00:00"/>
    <d v="2019-04-18T00:00:00"/>
    <x v="4"/>
    <n v="9"/>
    <n v="45"/>
    <n v="1696.78"/>
    <n v="1541.07"/>
    <n v="69348.149999999994"/>
    <n v="76355.100000000006"/>
    <n v="-7006.9500000000116"/>
    <n v="-351.90873054611018"/>
    <n v="-7358.8587305461215"/>
    <n v="0"/>
    <n v="0"/>
    <n v="0"/>
    <n v="-7358.8587305461215"/>
  </r>
  <r>
    <x v="3"/>
    <d v="2019-05-03T00:00:00"/>
    <d v="2019-05-20T00:00:00"/>
    <x v="4"/>
    <n v="9"/>
    <n v="22"/>
    <n v="1696.78"/>
    <n v="1541.07"/>
    <n v="33903.54"/>
    <n v="37329.159999999996"/>
    <n v="-3425.6199999999953"/>
    <n v="-172.04426826698719"/>
    <n v="-3597.6642682669826"/>
    <n v="0"/>
    <n v="0"/>
    <n v="0"/>
    <n v="-3597.6642682669826"/>
  </r>
  <r>
    <x v="4"/>
    <d v="2019-06-05T00:00:00"/>
    <d v="2019-06-20T00:00:00"/>
    <x v="4"/>
    <n v="9"/>
    <n v="31"/>
    <n v="1696.78"/>
    <n v="1541.07"/>
    <n v="47773.17"/>
    <n v="52600.18"/>
    <n v="-4827.010000000002"/>
    <n v="-242.42601437620922"/>
    <n v="-5069.4360143762115"/>
    <n v="0"/>
    <n v="0"/>
    <n v="0"/>
    <n v="-5069.4360143762115"/>
  </r>
  <r>
    <x v="5"/>
    <d v="2019-07-03T00:00:00"/>
    <d v="2019-07-18T00:00:00"/>
    <x v="4"/>
    <n v="9"/>
    <n v="44"/>
    <n v="1696.78"/>
    <n v="1541.07"/>
    <n v="67807.08"/>
    <n v="74658.319999999992"/>
    <n v="-6851.2399999999907"/>
    <n v="-344.08853653397438"/>
    <n v="-7195.3285365339652"/>
    <n v="0"/>
    <n v="0"/>
    <n v="0"/>
    <n v="-7195.3285365339652"/>
  </r>
  <r>
    <x v="6"/>
    <d v="2019-08-05T00:00:00"/>
    <d v="2019-08-20T00:00:00"/>
    <x v="4"/>
    <n v="9"/>
    <n v="47"/>
    <n v="1696.78"/>
    <n v="1541.07"/>
    <n v="72430.289999999994"/>
    <n v="79748.66"/>
    <n v="-7318.3700000000099"/>
    <n v="-367.54911857038172"/>
    <n v="-7685.9191185703912"/>
    <n v="0"/>
    <n v="0"/>
    <n v="0"/>
    <n v="-7685.9191185703912"/>
  </r>
  <r>
    <x v="7"/>
    <d v="2019-09-04T00:00:00"/>
    <d v="2019-09-19T00:00:00"/>
    <x v="4"/>
    <n v="9"/>
    <n v="50"/>
    <n v="1696.78"/>
    <n v="1541.07"/>
    <n v="77053.5"/>
    <n v="84839"/>
    <n v="-7785.5"/>
    <n v="-391.00970060678907"/>
    <n v="-8176.509700606789"/>
    <n v="0"/>
    <n v="0"/>
    <n v="0"/>
    <n v="-8176.509700606789"/>
  </r>
  <r>
    <x v="8"/>
    <d v="2019-10-03T00:00:00"/>
    <d v="2019-10-18T00:00:00"/>
    <x v="4"/>
    <n v="9"/>
    <n v="45"/>
    <n v="1696.78"/>
    <n v="1541.07"/>
    <n v="69348.149999999994"/>
    <n v="76355.100000000006"/>
    <n v="-7006.9500000000116"/>
    <n v="-351.90873054611018"/>
    <n v="-7358.8587305461215"/>
    <n v="0"/>
    <n v="0"/>
    <n v="0"/>
    <n v="-7358.8587305461215"/>
  </r>
  <r>
    <x v="9"/>
    <d v="2019-11-05T00:00:00"/>
    <d v="2019-11-20T00:00:00"/>
    <x v="4"/>
    <n v="9"/>
    <n v="37"/>
    <n v="1696.78"/>
    <n v="1541.07"/>
    <n v="57019.59"/>
    <n v="62780.86"/>
    <n v="-5761.2700000000041"/>
    <n v="-289.34717844902389"/>
    <n v="-6050.617178449028"/>
    <n v="0"/>
    <n v="0"/>
    <n v="0"/>
    <n v="-6050.617178449028"/>
  </r>
  <r>
    <x v="10"/>
    <d v="2019-12-04T00:00:00"/>
    <d v="2019-12-19T00:00:00"/>
    <x v="4"/>
    <n v="9"/>
    <n v="38"/>
    <n v="1696.78"/>
    <n v="1541.07"/>
    <n v="58560.659999999996"/>
    <n v="64477.64"/>
    <n v="-5916.9800000000032"/>
    <n v="-297.16737246115969"/>
    <n v="-6214.1473724611633"/>
    <n v="0"/>
    <n v="0"/>
    <n v="0"/>
    <n v="-6214.1473724611633"/>
  </r>
  <r>
    <x v="11"/>
    <d v="2020-01-03T00:00:00"/>
    <d v="2020-01-20T00:00:00"/>
    <x v="4"/>
    <n v="9"/>
    <n v="38"/>
    <n v="1696.78"/>
    <n v="1541.07"/>
    <n v="58560.659999999996"/>
    <n v="64477.64"/>
    <n v="-5916.9800000000032"/>
    <n v="-297.16737246115969"/>
    <n v="-6214.1473724611633"/>
    <n v="0"/>
    <n v="0"/>
    <n v="0"/>
    <n v="-6214.1473724611633"/>
  </r>
  <r>
    <x v="0"/>
    <d v="2019-02-05T00:00:00"/>
    <d v="2019-02-20T00:00:00"/>
    <x v="5"/>
    <n v="9"/>
    <n v="40"/>
    <n v="1696.78"/>
    <n v="1541.07"/>
    <n v="61642.799999999996"/>
    <n v="67871.199999999997"/>
    <n v="-6228.4000000000015"/>
    <n v="-312.80776048543123"/>
    <n v="-6541.207760485433"/>
    <n v="0"/>
    <n v="0"/>
    <n v="0"/>
    <n v="-6541.207760485433"/>
  </r>
  <r>
    <x v="1"/>
    <d v="2019-03-05T00:00:00"/>
    <d v="2019-03-20T00:00:00"/>
    <x v="5"/>
    <n v="9"/>
    <n v="40"/>
    <n v="1696.78"/>
    <n v="1541.07"/>
    <n v="61642.799999999996"/>
    <n v="67871.199999999997"/>
    <n v="-6228.4000000000015"/>
    <n v="-312.80776048543123"/>
    <n v="-6541.207760485433"/>
    <n v="0"/>
    <n v="0"/>
    <n v="0"/>
    <n v="-6541.207760485433"/>
  </r>
  <r>
    <x v="2"/>
    <d v="2019-04-03T00:00:00"/>
    <d v="2019-04-18T00:00:00"/>
    <x v="5"/>
    <n v="9"/>
    <n v="43"/>
    <n v="1696.78"/>
    <n v="1541.07"/>
    <n v="66266.009999999995"/>
    <n v="72961.539999999994"/>
    <n v="-6695.5299999999988"/>
    <n v="-336.26834252183863"/>
    <n v="-7031.7983425218372"/>
    <n v="0"/>
    <n v="0"/>
    <n v="0"/>
    <n v="-7031.7983425218372"/>
  </r>
  <r>
    <x v="3"/>
    <d v="2019-05-03T00:00:00"/>
    <d v="2019-05-20T00:00:00"/>
    <x v="5"/>
    <n v="9"/>
    <n v="27"/>
    <n v="1696.78"/>
    <n v="1541.07"/>
    <n v="41608.89"/>
    <n v="45813.06"/>
    <n v="-4204.1699999999983"/>
    <n v="-211.14523832766608"/>
    <n v="-4415.3152383276647"/>
    <n v="0"/>
    <n v="0"/>
    <n v="0"/>
    <n v="-4415.3152383276647"/>
  </r>
  <r>
    <x v="4"/>
    <d v="2019-06-05T00:00:00"/>
    <d v="2019-06-20T00:00:00"/>
    <x v="5"/>
    <n v="9"/>
    <n v="33"/>
    <n v="1696.78"/>
    <n v="1541.07"/>
    <n v="50855.31"/>
    <n v="55993.74"/>
    <n v="-5138.43"/>
    <n v="-258.0664024004808"/>
    <n v="-5396.4964024004812"/>
    <n v="0"/>
    <n v="0"/>
    <n v="0"/>
    <n v="-5396.4964024004812"/>
  </r>
  <r>
    <x v="5"/>
    <d v="2019-07-03T00:00:00"/>
    <d v="2019-07-18T00:00:00"/>
    <x v="5"/>
    <n v="9"/>
    <n v="39"/>
    <n v="1696.78"/>
    <n v="1541.07"/>
    <n v="60101.729999999996"/>
    <n v="66174.42"/>
    <n v="-6072.6900000000023"/>
    <n v="-304.98756647329549"/>
    <n v="-6377.6775664732977"/>
    <n v="0"/>
    <n v="0"/>
    <n v="0"/>
    <n v="-6377.6775664732977"/>
  </r>
  <r>
    <x v="6"/>
    <d v="2019-08-05T00:00:00"/>
    <d v="2019-08-20T00:00:00"/>
    <x v="5"/>
    <n v="9"/>
    <n v="39"/>
    <n v="1696.78"/>
    <n v="1541.07"/>
    <n v="60101.729999999996"/>
    <n v="66174.42"/>
    <n v="-6072.6900000000023"/>
    <n v="-304.98756647329549"/>
    <n v="-6377.6775664732977"/>
    <n v="0"/>
    <n v="0"/>
    <n v="0"/>
    <n v="-6377.6775664732977"/>
  </r>
  <r>
    <x v="7"/>
    <d v="2019-09-04T00:00:00"/>
    <d v="2019-09-19T00:00:00"/>
    <x v="5"/>
    <n v="9"/>
    <n v="43"/>
    <n v="1696.78"/>
    <n v="1541.07"/>
    <n v="66266.009999999995"/>
    <n v="72961.539999999994"/>
    <n v="-6695.5299999999988"/>
    <n v="-336.26834252183863"/>
    <n v="-7031.7983425218372"/>
    <n v="0"/>
    <n v="0"/>
    <n v="0"/>
    <n v="-7031.7983425218372"/>
  </r>
  <r>
    <x v="8"/>
    <d v="2019-10-03T00:00:00"/>
    <d v="2019-10-18T00:00:00"/>
    <x v="5"/>
    <n v="9"/>
    <n v="40"/>
    <n v="1696.78"/>
    <n v="1541.07"/>
    <n v="61642.799999999996"/>
    <n v="67871.199999999997"/>
    <n v="-6228.4000000000015"/>
    <n v="-312.80776048543123"/>
    <n v="-6541.207760485433"/>
    <n v="0"/>
    <n v="0"/>
    <n v="0"/>
    <n v="-6541.207760485433"/>
  </r>
  <r>
    <x v="9"/>
    <d v="2019-11-05T00:00:00"/>
    <d v="2019-11-20T00:00:00"/>
    <x v="5"/>
    <n v="9"/>
    <n v="30"/>
    <n v="1696.78"/>
    <n v="1541.07"/>
    <n v="46232.1"/>
    <n v="50903.4"/>
    <n v="-4671.3000000000029"/>
    <n v="-234.60582036407345"/>
    <n v="-4905.9058203640761"/>
    <n v="0"/>
    <n v="0"/>
    <n v="0"/>
    <n v="-4905.9058203640761"/>
  </r>
  <r>
    <x v="10"/>
    <d v="2019-12-04T00:00:00"/>
    <d v="2019-12-19T00:00:00"/>
    <x v="5"/>
    <n v="9"/>
    <n v="37"/>
    <n v="1696.78"/>
    <n v="1541.07"/>
    <n v="57019.59"/>
    <n v="62780.86"/>
    <n v="-5761.2700000000041"/>
    <n v="-289.34717844902389"/>
    <n v="-6050.617178449028"/>
    <n v="0"/>
    <n v="0"/>
    <n v="0"/>
    <n v="-6050.617178449028"/>
  </r>
  <r>
    <x v="11"/>
    <d v="2020-01-03T00:00:00"/>
    <d v="2020-01-20T00:00:00"/>
    <x v="5"/>
    <n v="9"/>
    <n v="41"/>
    <n v="1696.78"/>
    <n v="1541.07"/>
    <n v="63183.869999999995"/>
    <n v="69567.98"/>
    <n v="-6384.1100000000006"/>
    <n v="-320.62795449756703"/>
    <n v="-6704.7379544975674"/>
    <n v="0"/>
    <n v="0"/>
    <n v="0"/>
    <n v="-6704.7379544975674"/>
  </r>
  <r>
    <x v="0"/>
    <d v="2019-02-05T00:00:00"/>
    <d v="2019-02-20T00:00:00"/>
    <x v="6"/>
    <n v="9"/>
    <n v="76"/>
    <n v="1696.78"/>
    <n v="1541.07"/>
    <n v="117121.31999999999"/>
    <n v="128955.28"/>
    <n v="-11833.960000000006"/>
    <n v="-594.33474492231937"/>
    <n v="-12428.294744922327"/>
    <n v="0"/>
    <n v="0"/>
    <n v="0"/>
    <n v="-12428.294744922327"/>
  </r>
  <r>
    <x v="1"/>
    <d v="2019-03-05T00:00:00"/>
    <d v="2019-03-20T00:00:00"/>
    <x v="6"/>
    <n v="9"/>
    <n v="85"/>
    <n v="1696.78"/>
    <n v="1541.07"/>
    <n v="130990.95"/>
    <n v="144226.29999999999"/>
    <n v="-13235.349999999991"/>
    <n v="-664.71649103154141"/>
    <n v="-13900.066491031532"/>
    <n v="0"/>
    <n v="0"/>
    <n v="0"/>
    <n v="-13900.066491031532"/>
  </r>
  <r>
    <x v="2"/>
    <d v="2019-04-03T00:00:00"/>
    <d v="2019-04-18T00:00:00"/>
    <x v="6"/>
    <n v="9"/>
    <n v="86"/>
    <n v="1696.78"/>
    <n v="1541.07"/>
    <n v="132532.01999999999"/>
    <n v="145923.07999999999"/>
    <n v="-13391.059999999998"/>
    <n v="-672.53668504367727"/>
    <n v="-14063.596685043674"/>
    <n v="0"/>
    <n v="0"/>
    <n v="0"/>
    <n v="-14063.596685043674"/>
  </r>
  <r>
    <x v="3"/>
    <d v="2019-05-03T00:00:00"/>
    <d v="2019-05-20T00:00:00"/>
    <x v="6"/>
    <n v="9"/>
    <n v="78"/>
    <n v="1696.78"/>
    <n v="1541.07"/>
    <n v="120203.45999999999"/>
    <n v="132348.84"/>
    <n v="-12145.380000000005"/>
    <n v="-609.97513294659097"/>
    <n v="-12755.355132946595"/>
    <n v="0"/>
    <n v="0"/>
    <n v="0"/>
    <n v="-12755.355132946595"/>
  </r>
  <r>
    <x v="4"/>
    <d v="2019-06-05T00:00:00"/>
    <d v="2019-06-20T00:00:00"/>
    <x v="6"/>
    <n v="9"/>
    <n v="92"/>
    <n v="1696.78"/>
    <n v="1541.07"/>
    <n v="141778.44"/>
    <n v="156103.76"/>
    <n v="-14325.320000000007"/>
    <n v="-719.45784911649184"/>
    <n v="-15044.777849116499"/>
    <n v="0"/>
    <n v="0"/>
    <n v="0"/>
    <n v="-15044.777849116499"/>
  </r>
  <r>
    <x v="5"/>
    <d v="2019-07-03T00:00:00"/>
    <d v="2019-07-18T00:00:00"/>
    <x v="6"/>
    <n v="9"/>
    <n v="138"/>
    <n v="1696.78"/>
    <n v="1541.07"/>
    <n v="212667.66"/>
    <n v="234155.63999999998"/>
    <n v="-21487.979999999981"/>
    <n v="-1079.1867736747377"/>
    <n v="-22567.166773674719"/>
    <n v="0"/>
    <n v="0"/>
    <n v="0"/>
    <n v="-22567.166773674719"/>
  </r>
  <r>
    <x v="6"/>
    <d v="2019-08-05T00:00:00"/>
    <d v="2019-08-20T00:00:00"/>
    <x v="6"/>
    <n v="9"/>
    <n v="147"/>
    <n v="1696.78"/>
    <n v="1541.07"/>
    <n v="226537.28999999998"/>
    <n v="249426.66"/>
    <n v="-22889.370000000024"/>
    <n v="-1149.5685197839598"/>
    <n v="-24038.938519783984"/>
    <n v="0"/>
    <n v="0"/>
    <n v="0"/>
    <n v="-24038.938519783984"/>
  </r>
  <r>
    <x v="7"/>
    <d v="2019-09-04T00:00:00"/>
    <d v="2019-09-19T00:00:00"/>
    <x v="6"/>
    <n v="9"/>
    <n v="156"/>
    <n v="1696.78"/>
    <n v="1541.07"/>
    <n v="240406.91999999998"/>
    <n v="264697.68"/>
    <n v="-24290.760000000009"/>
    <n v="-1219.9502658931819"/>
    <n v="-25510.710265893191"/>
    <n v="0"/>
    <n v="0"/>
    <n v="0"/>
    <n v="-25510.710265893191"/>
  </r>
  <r>
    <x v="8"/>
    <d v="2019-10-03T00:00:00"/>
    <d v="2019-10-18T00:00:00"/>
    <x v="6"/>
    <n v="9"/>
    <n v="140"/>
    <n v="1696.78"/>
    <n v="1541.07"/>
    <n v="215749.8"/>
    <n v="237549.19999999998"/>
    <n v="-21799.399999999994"/>
    <n v="-1094.8271616990094"/>
    <n v="-22894.227161699004"/>
    <n v="0"/>
    <n v="0"/>
    <n v="0"/>
    <n v="-22894.227161699004"/>
  </r>
  <r>
    <x v="9"/>
    <d v="2019-11-05T00:00:00"/>
    <d v="2019-11-20T00:00:00"/>
    <x v="6"/>
    <n v="9"/>
    <n v="125"/>
    <n v="1696.78"/>
    <n v="1541.07"/>
    <n v="192633.75"/>
    <n v="212097.5"/>
    <n v="-19463.75"/>
    <n v="-977.52425151697253"/>
    <n v="-20441.274251516974"/>
    <n v="0"/>
    <n v="0"/>
    <n v="0"/>
    <n v="-20441.274251516974"/>
  </r>
  <r>
    <x v="10"/>
    <d v="2019-12-04T00:00:00"/>
    <d v="2019-12-19T00:00:00"/>
    <x v="6"/>
    <n v="9"/>
    <n v="79"/>
    <n v="1696.78"/>
    <n v="1541.07"/>
    <n v="121744.53"/>
    <n v="134045.62"/>
    <n v="-12301.089999999997"/>
    <n v="-617.79532695872672"/>
    <n v="-12918.885326958723"/>
    <n v="0"/>
    <n v="0"/>
    <n v="0"/>
    <n v="-12918.885326958723"/>
  </r>
  <r>
    <x v="11"/>
    <d v="2020-01-03T00:00:00"/>
    <d v="2020-01-20T00:00:00"/>
    <x v="6"/>
    <n v="9"/>
    <n v="81"/>
    <n v="1696.78"/>
    <n v="1541.07"/>
    <n v="124826.67"/>
    <n v="137439.18"/>
    <n v="-12612.509999999995"/>
    <n v="-633.43571498299832"/>
    <n v="-13245.945714982992"/>
    <n v="0"/>
    <n v="0"/>
    <n v="0"/>
    <n v="-13245.945714982992"/>
  </r>
  <r>
    <x v="0"/>
    <d v="2019-02-05T00:00:00"/>
    <d v="2019-02-20T00:00:00"/>
    <x v="7"/>
    <n v="9"/>
    <n v="43"/>
    <n v="1696.78"/>
    <n v="1541.07"/>
    <n v="66266.009999999995"/>
    <n v="72961.539999999994"/>
    <n v="-6695.5299999999988"/>
    <n v="-336.26834252183863"/>
    <n v="-7031.7983425218372"/>
    <n v="0"/>
    <n v="0"/>
    <n v="0"/>
    <n v="-7031.7983425218372"/>
  </r>
  <r>
    <x v="1"/>
    <d v="2019-03-05T00:00:00"/>
    <d v="2019-03-20T00:00:00"/>
    <x v="7"/>
    <n v="9"/>
    <n v="37"/>
    <n v="1696.78"/>
    <n v="1541.07"/>
    <n v="57019.59"/>
    <n v="62780.86"/>
    <n v="-5761.2700000000041"/>
    <n v="-289.34717844902389"/>
    <n v="-6050.617178449028"/>
    <n v="0"/>
    <n v="0"/>
    <n v="0"/>
    <n v="-6050.617178449028"/>
  </r>
  <r>
    <x v="2"/>
    <d v="2019-04-03T00:00:00"/>
    <d v="2019-04-18T00:00:00"/>
    <x v="7"/>
    <n v="9"/>
    <n v="40"/>
    <n v="1696.78"/>
    <n v="1541.07"/>
    <n v="61642.799999999996"/>
    <n v="67871.199999999997"/>
    <n v="-6228.4000000000015"/>
    <n v="-312.80776048543123"/>
    <n v="-6541.207760485433"/>
    <n v="0"/>
    <n v="0"/>
    <n v="0"/>
    <n v="-6541.207760485433"/>
  </r>
  <r>
    <x v="3"/>
    <d v="2019-05-03T00:00:00"/>
    <d v="2019-05-20T00:00:00"/>
    <x v="7"/>
    <n v="9"/>
    <n v="36"/>
    <n v="1696.78"/>
    <n v="1541.07"/>
    <n v="55478.52"/>
    <n v="61084.08"/>
    <n v="-5605.5600000000049"/>
    <n v="-281.52698443688814"/>
    <n v="-5887.0869844368935"/>
    <n v="0"/>
    <n v="0"/>
    <n v="0"/>
    <n v="-5887.0869844368935"/>
  </r>
  <r>
    <x v="4"/>
    <d v="2019-06-05T00:00:00"/>
    <d v="2019-06-20T00:00:00"/>
    <x v="7"/>
    <n v="9"/>
    <n v="41"/>
    <n v="1696.78"/>
    <n v="1541.07"/>
    <n v="63183.869999999995"/>
    <n v="69567.98"/>
    <n v="-6384.1100000000006"/>
    <n v="-320.62795449756703"/>
    <n v="-6704.7379544975674"/>
    <n v="0"/>
    <n v="0"/>
    <n v="0"/>
    <n v="-6704.7379544975674"/>
  </r>
  <r>
    <x v="5"/>
    <d v="2019-07-03T00:00:00"/>
    <d v="2019-07-18T00:00:00"/>
    <x v="7"/>
    <n v="9"/>
    <n v="40"/>
    <n v="1696.78"/>
    <n v="1541.07"/>
    <n v="61642.799999999996"/>
    <n v="67871.199999999997"/>
    <n v="-6228.4000000000015"/>
    <n v="-312.80776048543123"/>
    <n v="-6541.207760485433"/>
    <n v="0"/>
    <n v="0"/>
    <n v="0"/>
    <n v="-6541.207760485433"/>
  </r>
  <r>
    <x v="6"/>
    <d v="2019-08-05T00:00:00"/>
    <d v="2019-08-20T00:00:00"/>
    <x v="7"/>
    <n v="9"/>
    <n v="46"/>
    <n v="1696.78"/>
    <n v="1541.07"/>
    <n v="70889.22"/>
    <n v="78051.88"/>
    <n v="-7162.6600000000035"/>
    <n v="-359.72892455824592"/>
    <n v="-7522.3889245582495"/>
    <n v="0"/>
    <n v="0"/>
    <n v="0"/>
    <n v="-7522.3889245582495"/>
  </r>
  <r>
    <x v="7"/>
    <d v="2019-09-04T00:00:00"/>
    <d v="2019-09-19T00:00:00"/>
    <x v="7"/>
    <n v="9"/>
    <n v="47"/>
    <n v="1696.78"/>
    <n v="1541.07"/>
    <n v="72430.289999999994"/>
    <n v="79748.66"/>
    <n v="-7318.3700000000099"/>
    <n v="-367.54911857038172"/>
    <n v="-7685.9191185703912"/>
    <n v="0"/>
    <n v="0"/>
    <n v="0"/>
    <n v="-7685.9191185703912"/>
  </r>
  <r>
    <x v="8"/>
    <d v="2019-10-03T00:00:00"/>
    <d v="2019-10-18T00:00:00"/>
    <x v="7"/>
    <n v="9"/>
    <n v="45"/>
    <n v="1696.78"/>
    <n v="1541.07"/>
    <n v="69348.149999999994"/>
    <n v="76355.100000000006"/>
    <n v="-7006.9500000000116"/>
    <n v="-351.90873054611018"/>
    <n v="-7358.8587305461215"/>
    <n v="0"/>
    <n v="0"/>
    <n v="0"/>
    <n v="-7358.8587305461215"/>
  </r>
  <r>
    <x v="9"/>
    <d v="2019-11-05T00:00:00"/>
    <d v="2019-11-20T00:00:00"/>
    <x v="7"/>
    <n v="9"/>
    <n v="42.116999999999997"/>
    <n v="1696.78"/>
    <n v="1541.07"/>
    <n v="64905.245189999994"/>
    <n v="71463.283259999997"/>
    <n v="-6558.0380700000023"/>
    <n v="-329.36311120912268"/>
    <n v="-6887.4011812091248"/>
    <n v="0"/>
    <n v="0"/>
    <n v="0"/>
    <n v="-6887.4011812091248"/>
  </r>
  <r>
    <x v="10"/>
    <d v="2019-12-04T00:00:00"/>
    <d v="2019-12-19T00:00:00"/>
    <x v="7"/>
    <n v="9"/>
    <n v="43"/>
    <n v="1696.78"/>
    <n v="1541.07"/>
    <n v="66266.009999999995"/>
    <n v="72961.539999999994"/>
    <n v="-6695.5299999999988"/>
    <n v="-336.26834252183863"/>
    <n v="-7031.7983425218372"/>
    <n v="0"/>
    <n v="0"/>
    <n v="0"/>
    <n v="-7031.7983425218372"/>
  </r>
  <r>
    <x v="11"/>
    <d v="2020-01-03T00:00:00"/>
    <d v="2020-01-20T00:00:00"/>
    <x v="7"/>
    <n v="9"/>
    <n v="38"/>
    <n v="1696.78"/>
    <n v="1541.07"/>
    <n v="58560.659999999996"/>
    <n v="64477.64"/>
    <n v="-5916.9800000000032"/>
    <n v="-297.16737246115969"/>
    <n v="-6214.1473724611633"/>
    <n v="0"/>
    <n v="0"/>
    <n v="0"/>
    <n v="-6214.1473724611633"/>
  </r>
  <r>
    <x v="0"/>
    <d v="2019-02-05T00:00:00"/>
    <d v="2019-02-20T00:00:00"/>
    <x v="8"/>
    <n v="9"/>
    <n v="988"/>
    <n v="1696.78"/>
    <n v="1541.07"/>
    <n v="1522577.16"/>
    <n v="1676418.64"/>
    <n v="-153841.47999999998"/>
    <n v="-7726.3516839901522"/>
    <n v="-161567.83168399014"/>
    <n v="0"/>
    <n v="0"/>
    <n v="0"/>
    <n v="-161567.83168399014"/>
  </r>
  <r>
    <x v="1"/>
    <d v="2019-03-05T00:00:00"/>
    <d v="2019-03-20T00:00:00"/>
    <x v="8"/>
    <n v="9"/>
    <n v="951"/>
    <n v="1696.78"/>
    <n v="1541.07"/>
    <n v="1465557.5699999998"/>
    <n v="1613637.78"/>
    <n v="-148080.2100000002"/>
    <n v="-7437.0045055411274"/>
    <n v="-155517.21450554131"/>
    <n v="0"/>
    <n v="0"/>
    <n v="0"/>
    <n v="-155517.21450554131"/>
  </r>
  <r>
    <x v="2"/>
    <d v="2019-04-03T00:00:00"/>
    <d v="2019-04-18T00:00:00"/>
    <x v="8"/>
    <n v="9"/>
    <n v="1055"/>
    <n v="1696.78"/>
    <n v="1541.07"/>
    <n v="1625828.8499999999"/>
    <n v="1790102.9"/>
    <n v="-164274.05000000005"/>
    <n v="-8250.3046828032493"/>
    <n v="-172524.3546828033"/>
    <n v="0"/>
    <n v="0"/>
    <n v="0"/>
    <n v="-172524.3546828033"/>
  </r>
  <r>
    <x v="3"/>
    <d v="2019-05-03T00:00:00"/>
    <d v="2019-05-20T00:00:00"/>
    <x v="8"/>
    <n v="9"/>
    <n v="514"/>
    <n v="1696.78"/>
    <n v="1541.07"/>
    <n v="792109.98"/>
    <n v="872144.92"/>
    <n v="-80034.940000000061"/>
    <n v="-4019.5797222377919"/>
    <n v="-84054.519722237848"/>
    <n v="0"/>
    <n v="0"/>
    <n v="0"/>
    <n v="-84054.519722237848"/>
  </r>
  <r>
    <x v="4"/>
    <d v="2019-06-05T00:00:00"/>
    <d v="2019-06-20T00:00:00"/>
    <x v="8"/>
    <n v="9"/>
    <n v="701"/>
    <n v="1696.78"/>
    <n v="1541.07"/>
    <n v="1080290.07"/>
    <n v="1189442.78"/>
    <n v="-109152.70999999996"/>
    <n v="-5481.9560025071833"/>
    <n v="-114634.66600250715"/>
    <n v="0"/>
    <n v="0"/>
    <n v="0"/>
    <n v="-114634.66600250715"/>
  </r>
  <r>
    <x v="5"/>
    <d v="2019-07-03T00:00:00"/>
    <d v="2019-07-18T00:00:00"/>
    <x v="8"/>
    <n v="9"/>
    <n v="822"/>
    <n v="1696.78"/>
    <n v="1541.07"/>
    <n v="1266759.54"/>
    <n v="1394753.16"/>
    <n v="-127993.61999999988"/>
    <n v="-6428.1994779756124"/>
    <n v="-134421.81947797548"/>
    <n v="0"/>
    <n v="0"/>
    <n v="0"/>
    <n v="-134421.81947797548"/>
  </r>
  <r>
    <x v="6"/>
    <d v="2019-08-05T00:00:00"/>
    <d v="2019-08-20T00:00:00"/>
    <x v="8"/>
    <n v="9"/>
    <n v="868"/>
    <n v="1696.78"/>
    <n v="1541.07"/>
    <n v="1337648.76"/>
    <n v="1472805.04"/>
    <n v="-135156.28000000003"/>
    <n v="-6787.9284025338584"/>
    <n v="-141944.2084025339"/>
    <n v="0"/>
    <n v="0"/>
    <n v="0"/>
    <n v="-141944.2084025339"/>
  </r>
  <r>
    <x v="7"/>
    <d v="2019-09-04T00:00:00"/>
    <d v="2019-09-19T00:00:00"/>
    <x v="8"/>
    <n v="9"/>
    <n v="933"/>
    <n v="1696.78"/>
    <n v="1541.07"/>
    <n v="1437818.31"/>
    <n v="1583095.74"/>
    <n v="-145277.42999999993"/>
    <n v="-7296.2410133226831"/>
    <n v="-152573.67101332263"/>
    <n v="0"/>
    <n v="0"/>
    <n v="0"/>
    <n v="-152573.67101332263"/>
  </r>
  <r>
    <x v="8"/>
    <d v="2019-10-03T00:00:00"/>
    <d v="2019-10-18T00:00:00"/>
    <x v="8"/>
    <n v="9"/>
    <n v="890"/>
    <n v="1696.78"/>
    <n v="1541.07"/>
    <n v="1371552.3"/>
    <n v="1510134.2"/>
    <n v="-138581.89999999991"/>
    <n v="-6959.9726708008448"/>
    <n v="-145541.87267080075"/>
    <n v="0"/>
    <n v="0"/>
    <n v="0"/>
    <n v="-145541.87267080075"/>
  </r>
  <r>
    <x v="9"/>
    <d v="2019-11-05T00:00:00"/>
    <d v="2019-11-20T00:00:00"/>
    <x v="8"/>
    <n v="9"/>
    <n v="798"/>
    <n v="1696.78"/>
    <n v="1541.07"/>
    <n v="1229773.8599999999"/>
    <n v="1354030.44"/>
    <n v="-124256.58000000007"/>
    <n v="-6240.5148216843536"/>
    <n v="-130497.09482168443"/>
    <n v="0"/>
    <n v="0"/>
    <n v="0"/>
    <n v="-130497.09482168443"/>
  </r>
  <r>
    <x v="10"/>
    <d v="2019-12-04T00:00:00"/>
    <d v="2019-12-19T00:00:00"/>
    <x v="8"/>
    <n v="9"/>
    <n v="1050"/>
    <n v="1696.78"/>
    <n v="1541.07"/>
    <n v="1618123.5"/>
    <n v="1781619"/>
    <n v="-163495.5"/>
    <n v="-8211.2037127425701"/>
    <n v="-171706.70371274257"/>
    <n v="0"/>
    <n v="0"/>
    <n v="0"/>
    <n v="-171706.70371274257"/>
  </r>
  <r>
    <x v="11"/>
    <d v="2020-01-03T00:00:00"/>
    <d v="2020-01-20T00:00:00"/>
    <x v="8"/>
    <n v="9"/>
    <n v="996"/>
    <n v="1696.78"/>
    <n v="1541.07"/>
    <n v="1534905.72"/>
    <n v="1689992.88"/>
    <n v="-155087.15999999992"/>
    <n v="-7788.9132360872372"/>
    <n v="-162876.07323608716"/>
    <n v="0"/>
    <n v="0"/>
    <n v="0"/>
    <n v="-162876.07323608716"/>
  </r>
  <r>
    <x v="0"/>
    <d v="2019-02-05T00:00:00"/>
    <d v="2019-02-20T00:00:00"/>
    <x v="9"/>
    <n v="9"/>
    <n v="7"/>
    <n v="1696.78"/>
    <n v="1541.07"/>
    <n v="10787.49"/>
    <n v="11877.46"/>
    <n v="-1089.9699999999993"/>
    <n v="-54.741358084950477"/>
    <n v="-1144.7113580849498"/>
    <n v="0"/>
    <n v="0"/>
    <n v="0"/>
    <n v="-1144.7113580849498"/>
  </r>
  <r>
    <x v="1"/>
    <d v="2019-03-05T00:00:00"/>
    <d v="2019-03-20T00:00:00"/>
    <x v="9"/>
    <n v="9"/>
    <n v="8"/>
    <n v="1696.78"/>
    <n v="1541.07"/>
    <n v="12328.56"/>
    <n v="13574.24"/>
    <n v="-1245.6800000000003"/>
    <n v="-62.561552097086249"/>
    <n v="-1308.2415520970865"/>
    <n v="0"/>
    <n v="0"/>
    <n v="0"/>
    <n v="-1308.2415520970865"/>
  </r>
  <r>
    <x v="2"/>
    <d v="2019-04-03T00:00:00"/>
    <d v="2019-04-18T00:00:00"/>
    <x v="9"/>
    <n v="9"/>
    <n v="6"/>
    <n v="1696.78"/>
    <n v="1541.07"/>
    <n v="9246.42"/>
    <n v="10180.68"/>
    <n v="-934.26000000000022"/>
    <n v="-46.92116407281469"/>
    <n v="-981.18116407281491"/>
    <n v="0"/>
    <n v="0"/>
    <n v="0"/>
    <n v="-981.18116407281491"/>
  </r>
  <r>
    <x v="3"/>
    <d v="2019-05-03T00:00:00"/>
    <d v="2019-05-20T00:00:00"/>
    <x v="9"/>
    <n v="9"/>
    <n v="5"/>
    <n v="1696.78"/>
    <n v="1541.07"/>
    <n v="7705.3499999999995"/>
    <n v="8483.9"/>
    <n v="-778.55000000000018"/>
    <n v="-39.100970060678904"/>
    <n v="-817.65097006067913"/>
    <n v="0"/>
    <n v="0"/>
    <n v="0"/>
    <n v="-817.65097006067913"/>
  </r>
  <r>
    <x v="4"/>
    <d v="2019-06-05T00:00:00"/>
    <d v="2019-06-20T00:00:00"/>
    <x v="9"/>
    <n v="9"/>
    <n v="4"/>
    <n v="1696.78"/>
    <n v="1541.07"/>
    <n v="6164.28"/>
    <n v="6787.12"/>
    <n v="-622.84000000000015"/>
    <n v="-31.280776048543125"/>
    <n v="-654.12077604854323"/>
    <n v="0"/>
    <n v="0"/>
    <n v="0"/>
    <n v="-654.12077604854323"/>
  </r>
  <r>
    <x v="5"/>
    <d v="2019-07-03T00:00:00"/>
    <d v="2019-07-18T00:00:00"/>
    <x v="9"/>
    <n v="9"/>
    <n v="7"/>
    <n v="1696.78"/>
    <n v="1541.07"/>
    <n v="10787.49"/>
    <n v="11877.46"/>
    <n v="-1089.9699999999993"/>
    <n v="-54.741358084950477"/>
    <n v="-1144.7113580849498"/>
    <n v="0"/>
    <n v="0"/>
    <n v="0"/>
    <n v="-1144.7113580849498"/>
  </r>
  <r>
    <x v="6"/>
    <d v="2019-08-05T00:00:00"/>
    <d v="2019-08-20T00:00:00"/>
    <x v="9"/>
    <n v="9"/>
    <n v="17"/>
    <n v="1696.78"/>
    <n v="1541.07"/>
    <n v="26198.19"/>
    <n v="28845.26"/>
    <n v="-2647.0699999999997"/>
    <n v="-132.9432982063083"/>
    <n v="-2780.0132982063078"/>
    <n v="0"/>
    <n v="0"/>
    <n v="0"/>
    <n v="-2780.0132982063078"/>
  </r>
  <r>
    <x v="7"/>
    <d v="2019-09-04T00:00:00"/>
    <d v="2019-09-19T00:00:00"/>
    <x v="9"/>
    <n v="9"/>
    <n v="17"/>
    <n v="1696.78"/>
    <n v="1541.07"/>
    <n v="26198.19"/>
    <n v="28845.26"/>
    <n v="-2647.0699999999997"/>
    <n v="-132.9432982063083"/>
    <n v="-2780.0132982063078"/>
    <n v="0"/>
    <n v="0"/>
    <n v="0"/>
    <n v="-2780.0132982063078"/>
  </r>
  <r>
    <x v="8"/>
    <d v="2019-10-03T00:00:00"/>
    <d v="2019-10-18T00:00:00"/>
    <x v="9"/>
    <n v="9"/>
    <n v="13"/>
    <n v="1696.78"/>
    <n v="1541.07"/>
    <n v="20033.91"/>
    <n v="22058.14"/>
    <n v="-2024.2299999999996"/>
    <n v="-101.66252215776515"/>
    <n v="-2125.8925221577647"/>
    <n v="0"/>
    <n v="0"/>
    <n v="0"/>
    <n v="-2125.8925221577647"/>
  </r>
  <r>
    <x v="9"/>
    <d v="2019-11-05T00:00:00"/>
    <d v="2019-11-20T00:00:00"/>
    <x v="9"/>
    <n v="9"/>
    <n v="5"/>
    <n v="1696.78"/>
    <n v="1541.07"/>
    <n v="7705.3499999999995"/>
    <n v="8483.9"/>
    <n v="-778.55000000000018"/>
    <n v="-39.100970060678904"/>
    <n v="-817.65097006067913"/>
    <n v="0"/>
    <n v="0"/>
    <n v="0"/>
    <n v="-817.65097006067913"/>
  </r>
  <r>
    <x v="10"/>
    <d v="2019-12-04T00:00:00"/>
    <d v="2019-12-19T00:00:00"/>
    <x v="9"/>
    <n v="9"/>
    <n v="7"/>
    <n v="1696.78"/>
    <n v="1541.07"/>
    <n v="10787.49"/>
    <n v="11877.46"/>
    <n v="-1089.9699999999993"/>
    <n v="-54.741358084950477"/>
    <n v="-1144.7113580849498"/>
    <n v="0"/>
    <n v="0"/>
    <n v="0"/>
    <n v="-1144.7113580849498"/>
  </r>
  <r>
    <x v="11"/>
    <d v="2020-01-03T00:00:00"/>
    <d v="2020-01-20T00:00:00"/>
    <x v="9"/>
    <n v="9"/>
    <n v="7"/>
    <n v="1696.78"/>
    <n v="1541.07"/>
    <n v="10787.49"/>
    <n v="11877.46"/>
    <n v="-1089.9699999999993"/>
    <n v="-54.741358084950477"/>
    <n v="-1144.7113580849498"/>
    <n v="0"/>
    <n v="0"/>
    <n v="0"/>
    <n v="-1144.7113580849498"/>
  </r>
  <r>
    <x v="0"/>
    <d v="2019-02-05T00:00:00"/>
    <d v="2019-02-20T00:00:00"/>
    <x v="10"/>
    <n v="9"/>
    <n v="1"/>
    <n v="1696.78"/>
    <n v="1541.07"/>
    <n v="1541.07"/>
    <n v="1696.78"/>
    <n v="-155.71000000000004"/>
    <n v="-7.8201940121357811"/>
    <n v="-163.53019401213581"/>
    <n v="0"/>
    <n v="0"/>
    <n v="0"/>
    <n v="-163.53019401213581"/>
  </r>
  <r>
    <x v="1"/>
    <d v="2019-03-05T00:00:00"/>
    <d v="2019-03-20T00:00:00"/>
    <x v="10"/>
    <n v="9"/>
    <n v="4"/>
    <n v="1696.78"/>
    <n v="1541.07"/>
    <n v="6164.28"/>
    <n v="6787.12"/>
    <n v="-622.84000000000015"/>
    <n v="-31.280776048543125"/>
    <n v="-654.12077604854323"/>
    <n v="0"/>
    <n v="0"/>
    <n v="0"/>
    <n v="-654.12077604854323"/>
  </r>
  <r>
    <x v="2"/>
    <d v="2019-04-03T00:00:00"/>
    <d v="2019-04-18T00:00:00"/>
    <x v="10"/>
    <n v="9"/>
    <n v="1"/>
    <n v="1696.78"/>
    <n v="1541.07"/>
    <n v="1541.07"/>
    <n v="1696.78"/>
    <n v="-155.71000000000004"/>
    <n v="-7.8201940121357811"/>
    <n v="-163.53019401213581"/>
    <n v="0"/>
    <n v="0"/>
    <n v="0"/>
    <n v="-163.53019401213581"/>
  </r>
  <r>
    <x v="3"/>
    <d v="2019-05-03T00:00:00"/>
    <d v="2019-05-20T00:00:00"/>
    <x v="10"/>
    <n v="9"/>
    <n v="3"/>
    <n v="1696.78"/>
    <n v="1541.07"/>
    <n v="4623.21"/>
    <n v="5090.34"/>
    <n v="-467.13000000000011"/>
    <n v="-23.460582036407345"/>
    <n v="-490.59058203640745"/>
    <n v="0"/>
    <n v="0"/>
    <n v="0"/>
    <n v="-490.59058203640745"/>
  </r>
  <r>
    <x v="4"/>
    <d v="2019-06-05T00:00:00"/>
    <d v="2019-06-20T00:00:00"/>
    <x v="10"/>
    <n v="9"/>
    <n v="3"/>
    <n v="1696.78"/>
    <n v="1541.07"/>
    <n v="4623.21"/>
    <n v="5090.34"/>
    <n v="-467.13000000000011"/>
    <n v="-23.460582036407345"/>
    <n v="-490.59058203640745"/>
    <n v="0"/>
    <n v="0"/>
    <n v="0"/>
    <n v="-490.59058203640745"/>
  </r>
  <r>
    <x v="5"/>
    <d v="2019-07-03T00:00:00"/>
    <d v="2019-07-18T00:00:00"/>
    <x v="10"/>
    <n v="9"/>
    <n v="2"/>
    <n v="1696.78"/>
    <n v="1541.07"/>
    <n v="3082.14"/>
    <n v="3393.56"/>
    <n v="-311.42000000000007"/>
    <n v="-15.640388024271562"/>
    <n v="-327.06038802427162"/>
    <n v="0"/>
    <n v="0"/>
    <n v="0"/>
    <n v="-327.06038802427162"/>
  </r>
  <r>
    <x v="6"/>
    <d v="2019-08-05T00:00:00"/>
    <d v="2019-08-20T00:00:00"/>
    <x v="10"/>
    <n v="9"/>
    <n v="6"/>
    <n v="1696.78"/>
    <n v="1541.07"/>
    <n v="9246.42"/>
    <n v="10180.68"/>
    <n v="-934.26000000000022"/>
    <n v="-46.92116407281469"/>
    <n v="-981.18116407281491"/>
    <n v="0"/>
    <n v="0"/>
    <n v="0"/>
    <n v="-981.18116407281491"/>
  </r>
  <r>
    <x v="7"/>
    <d v="2019-09-04T00:00:00"/>
    <d v="2019-09-19T00:00:00"/>
    <x v="10"/>
    <n v="9"/>
    <n v="4"/>
    <n v="1696.78"/>
    <n v="1541.07"/>
    <n v="6164.28"/>
    <n v="6787.12"/>
    <n v="-622.84000000000015"/>
    <n v="-31.280776048543125"/>
    <n v="-654.12077604854323"/>
    <n v="0"/>
    <n v="0"/>
    <n v="0"/>
    <n v="-654.12077604854323"/>
  </r>
  <r>
    <x v="8"/>
    <d v="2019-10-03T00:00:00"/>
    <d v="2019-10-18T00:00:00"/>
    <x v="10"/>
    <n v="9"/>
    <n v="3"/>
    <n v="1696.78"/>
    <n v="1541.07"/>
    <n v="4623.21"/>
    <n v="5090.34"/>
    <n v="-467.13000000000011"/>
    <n v="-23.460582036407345"/>
    <n v="-490.59058203640745"/>
    <n v="0"/>
    <n v="0"/>
    <n v="0"/>
    <n v="-490.59058203640745"/>
  </r>
  <r>
    <x v="9"/>
    <d v="2019-11-05T00:00:00"/>
    <d v="2019-11-20T00:00:00"/>
    <x v="10"/>
    <n v="9"/>
    <n v="4"/>
    <n v="1696.78"/>
    <n v="1541.07"/>
    <n v="6164.28"/>
    <n v="6787.12"/>
    <n v="-622.84000000000015"/>
    <n v="-31.280776048543125"/>
    <n v="-654.12077604854323"/>
    <n v="0"/>
    <n v="0"/>
    <n v="0"/>
    <n v="-654.12077604854323"/>
  </r>
  <r>
    <x v="10"/>
    <d v="2019-12-04T00:00:00"/>
    <d v="2019-12-19T00:00:00"/>
    <x v="10"/>
    <n v="9"/>
    <n v="4"/>
    <n v="1696.78"/>
    <n v="1541.07"/>
    <n v="6164.28"/>
    <n v="6787.12"/>
    <n v="-622.84000000000015"/>
    <n v="-31.280776048543125"/>
    <n v="-654.12077604854323"/>
    <n v="0"/>
    <n v="0"/>
    <n v="0"/>
    <n v="-654.12077604854323"/>
  </r>
  <r>
    <x v="11"/>
    <d v="2020-01-03T00:00:00"/>
    <d v="2020-01-20T00:00:00"/>
    <x v="10"/>
    <n v="9"/>
    <n v="4"/>
    <n v="1696.78"/>
    <n v="1541.07"/>
    <n v="6164.28"/>
    <n v="6787.12"/>
    <n v="-622.84000000000015"/>
    <n v="-31.280776048543125"/>
    <n v="-654.12077604854323"/>
    <n v="0"/>
    <n v="0"/>
    <n v="0"/>
    <n v="-654.12077604854323"/>
  </r>
  <r>
    <x v="0"/>
    <d v="2019-02-05T00:00:00"/>
    <d v="2019-02-20T00:00:00"/>
    <x v="11"/>
    <n v="9"/>
    <n v="108"/>
    <n v="1696.78"/>
    <n v="1541.07"/>
    <n v="166435.56"/>
    <n v="183252.24"/>
    <n v="-16816.679999999993"/>
    <n v="-844.58095331066431"/>
    <n v="-17661.260953310659"/>
    <n v="0"/>
    <n v="0"/>
    <n v="0"/>
    <n v="-17661.260953310659"/>
  </r>
  <r>
    <x v="1"/>
    <d v="2019-03-05T00:00:00"/>
    <d v="2019-03-20T00:00:00"/>
    <x v="11"/>
    <n v="9"/>
    <n v="116"/>
    <n v="1696.78"/>
    <n v="1541.07"/>
    <n v="178764.12"/>
    <n v="196826.48"/>
    <n v="-18062.360000000015"/>
    <n v="-907.14250540775072"/>
    <n v="-18969.502505407767"/>
    <n v="0"/>
    <n v="0"/>
    <n v="0"/>
    <n v="-18969.502505407767"/>
  </r>
  <r>
    <x v="2"/>
    <d v="2019-04-03T00:00:00"/>
    <d v="2019-04-18T00:00:00"/>
    <x v="11"/>
    <n v="9"/>
    <n v="115"/>
    <n v="1696.78"/>
    <n v="1541.07"/>
    <n v="177223.05"/>
    <n v="195129.69999999998"/>
    <n v="-17906.649999999994"/>
    <n v="-899.32231139561475"/>
    <n v="-18805.97231139561"/>
    <n v="0"/>
    <n v="0"/>
    <n v="0"/>
    <n v="-18805.97231139561"/>
  </r>
  <r>
    <x v="3"/>
    <d v="2019-05-03T00:00:00"/>
    <d v="2019-05-20T00:00:00"/>
    <x v="11"/>
    <n v="9"/>
    <n v="96"/>
    <n v="1696.78"/>
    <n v="1541.07"/>
    <n v="147942.72"/>
    <n v="162890.88"/>
    <n v="-14948.160000000003"/>
    <n v="-750.73862516503505"/>
    <n v="-15698.898625165039"/>
    <n v="0"/>
    <n v="0"/>
    <n v="0"/>
    <n v="-15698.898625165039"/>
  </r>
  <r>
    <x v="4"/>
    <d v="2019-06-05T00:00:00"/>
    <d v="2019-06-20T00:00:00"/>
    <x v="11"/>
    <n v="9"/>
    <n v="127"/>
    <n v="1696.78"/>
    <n v="1541.07"/>
    <n v="195715.88999999998"/>
    <n v="215491.06"/>
    <n v="-19775.170000000013"/>
    <n v="-993.16463954124424"/>
    <n v="-20768.334639541255"/>
    <n v="0"/>
    <n v="0"/>
    <n v="0"/>
    <n v="-20768.334639541255"/>
  </r>
  <r>
    <x v="5"/>
    <d v="2019-07-03T00:00:00"/>
    <d v="2019-07-18T00:00:00"/>
    <x v="11"/>
    <n v="9"/>
    <n v="143"/>
    <n v="1696.78"/>
    <n v="1541.07"/>
    <n v="220373.00999999998"/>
    <n v="242639.54"/>
    <n v="-22266.530000000028"/>
    <n v="-1118.2877437354168"/>
    <n v="-23384.817743735446"/>
    <n v="0"/>
    <n v="0"/>
    <n v="0"/>
    <n v="-23384.817743735446"/>
  </r>
  <r>
    <x v="6"/>
    <d v="2019-08-05T00:00:00"/>
    <d v="2019-08-20T00:00:00"/>
    <x v="11"/>
    <n v="9"/>
    <n v="153"/>
    <n v="1696.78"/>
    <n v="1541.07"/>
    <n v="235783.71"/>
    <n v="259607.34"/>
    <n v="-23823.630000000005"/>
    <n v="-1196.4896838567745"/>
    <n v="-25020.119683856778"/>
    <n v="0"/>
    <n v="0"/>
    <n v="0"/>
    <n v="-25020.119683856778"/>
  </r>
  <r>
    <x v="7"/>
    <d v="2019-09-04T00:00:00"/>
    <d v="2019-09-19T00:00:00"/>
    <x v="11"/>
    <n v="9"/>
    <n v="162"/>
    <n v="1696.78"/>
    <n v="1541.07"/>
    <n v="249653.34"/>
    <n v="274878.36"/>
    <n v="-25225.01999999999"/>
    <n v="-1266.8714299659966"/>
    <n v="-26491.891429965985"/>
    <n v="0"/>
    <n v="0"/>
    <n v="0"/>
    <n v="-26491.891429965985"/>
  </r>
  <r>
    <x v="8"/>
    <d v="2019-10-03T00:00:00"/>
    <d v="2019-10-18T00:00:00"/>
    <x v="11"/>
    <n v="9"/>
    <n v="145"/>
    <n v="1696.78"/>
    <n v="1541.07"/>
    <n v="223455.15"/>
    <n v="246033.1"/>
    <n v="-22577.950000000012"/>
    <n v="-1133.9281317596881"/>
    <n v="-23711.878131759699"/>
    <n v="0"/>
    <n v="0"/>
    <n v="0"/>
    <n v="-23711.878131759699"/>
  </r>
  <r>
    <x v="9"/>
    <d v="2019-11-05T00:00:00"/>
    <d v="2019-11-20T00:00:00"/>
    <x v="11"/>
    <n v="9"/>
    <n v="134"/>
    <n v="1696.78"/>
    <n v="1541.07"/>
    <n v="206503.38"/>
    <n v="227368.52"/>
    <n v="-20865.139999999985"/>
    <n v="-1047.9059976261947"/>
    <n v="-21913.045997626181"/>
    <n v="0"/>
    <n v="0"/>
    <n v="0"/>
    <n v="-21913.045997626181"/>
  </r>
  <r>
    <x v="10"/>
    <d v="2019-12-04T00:00:00"/>
    <d v="2019-12-19T00:00:00"/>
    <x v="11"/>
    <n v="9"/>
    <n v="105"/>
    <n v="1696.78"/>
    <n v="1541.07"/>
    <n v="161812.35"/>
    <n v="178161.9"/>
    <n v="-16349.549999999988"/>
    <n v="-821.12037127425697"/>
    <n v="-17170.670371274246"/>
    <n v="0"/>
    <n v="0"/>
    <n v="0"/>
    <n v="-17170.670371274246"/>
  </r>
  <r>
    <x v="11"/>
    <d v="2020-01-03T00:00:00"/>
    <d v="2020-01-20T00:00:00"/>
    <x v="11"/>
    <n v="9"/>
    <n v="106"/>
    <n v="1696.78"/>
    <n v="1541.07"/>
    <n v="163353.41999999998"/>
    <n v="179858.68"/>
    <n v="-16505.260000000009"/>
    <n v="-828.94056528639283"/>
    <n v="-17334.200565286403"/>
    <n v="0"/>
    <n v="0"/>
    <n v="0"/>
    <n v="-17334.200565286403"/>
  </r>
  <r>
    <x v="0"/>
    <d v="2019-02-05T00:00:00"/>
    <d v="2019-02-20T00:00:00"/>
    <x v="12"/>
    <n v="9"/>
    <n v="11"/>
    <n v="1696.78"/>
    <n v="1541.07"/>
    <n v="16951.77"/>
    <n v="18664.579999999998"/>
    <n v="-1712.8099999999977"/>
    <n v="-86.022134133493594"/>
    <n v="-1798.8321341334913"/>
    <n v="0"/>
    <n v="0"/>
    <n v="0"/>
    <n v="-1798.8321341334913"/>
  </r>
  <r>
    <x v="1"/>
    <d v="2019-03-05T00:00:00"/>
    <d v="2019-03-20T00:00:00"/>
    <x v="12"/>
    <n v="9"/>
    <n v="9"/>
    <n v="1696.78"/>
    <n v="1541.07"/>
    <n v="13869.63"/>
    <n v="15271.02"/>
    <n v="-1401.3900000000012"/>
    <n v="-70.381746109222036"/>
    <n v="-1471.7717461092234"/>
    <n v="0"/>
    <n v="0"/>
    <n v="0"/>
    <n v="-1471.7717461092234"/>
  </r>
  <r>
    <x v="2"/>
    <d v="2019-04-03T00:00:00"/>
    <d v="2019-04-18T00:00:00"/>
    <x v="12"/>
    <n v="9"/>
    <n v="12"/>
    <n v="1696.78"/>
    <n v="1541.07"/>
    <n v="18492.84"/>
    <n v="20361.36"/>
    <n v="-1868.5200000000004"/>
    <n v="-93.842328145629381"/>
    <n v="-1962.3623281456298"/>
    <n v="0"/>
    <n v="0"/>
    <n v="0"/>
    <n v="-1962.3623281456298"/>
  </r>
  <r>
    <x v="3"/>
    <d v="2019-05-03T00:00:00"/>
    <d v="2019-05-20T00:00:00"/>
    <x v="12"/>
    <n v="9"/>
    <n v="10"/>
    <n v="1696.78"/>
    <n v="1541.07"/>
    <n v="15410.699999999999"/>
    <n v="16967.8"/>
    <n v="-1557.1000000000004"/>
    <n v="-78.201940121357808"/>
    <n v="-1635.3019401213583"/>
    <n v="0"/>
    <n v="0"/>
    <n v="0"/>
    <n v="-1635.3019401213583"/>
  </r>
  <r>
    <x v="4"/>
    <d v="2019-06-05T00:00:00"/>
    <d v="2019-06-20T00:00:00"/>
    <x v="12"/>
    <n v="9"/>
    <n v="13"/>
    <n v="1696.78"/>
    <n v="1541.07"/>
    <n v="20033.91"/>
    <n v="22058.14"/>
    <n v="-2024.2299999999996"/>
    <n v="-101.66252215776515"/>
    <n v="-2125.8925221577647"/>
    <n v="0"/>
    <n v="0"/>
    <n v="0"/>
    <n v="-2125.8925221577647"/>
  </r>
  <r>
    <x v="5"/>
    <d v="2019-07-03T00:00:00"/>
    <d v="2019-07-18T00:00:00"/>
    <x v="12"/>
    <n v="9"/>
    <n v="12"/>
    <n v="1696.78"/>
    <n v="1541.07"/>
    <n v="18492.84"/>
    <n v="20361.36"/>
    <n v="-1868.5200000000004"/>
    <n v="-93.842328145629381"/>
    <n v="-1962.3623281456298"/>
    <n v="0"/>
    <n v="0"/>
    <n v="0"/>
    <n v="-1962.3623281456298"/>
  </r>
  <r>
    <x v="6"/>
    <d v="2019-08-05T00:00:00"/>
    <d v="2019-08-20T00:00:00"/>
    <x v="12"/>
    <n v="9"/>
    <n v="14"/>
    <n v="1696.78"/>
    <n v="1541.07"/>
    <n v="21574.98"/>
    <n v="23754.92"/>
    <n v="-2179.9399999999987"/>
    <n v="-109.48271616990095"/>
    <n v="-2289.4227161698996"/>
    <n v="0"/>
    <n v="0"/>
    <n v="0"/>
    <n v="-2289.4227161698996"/>
  </r>
  <r>
    <x v="7"/>
    <d v="2019-09-04T00:00:00"/>
    <d v="2019-09-19T00:00:00"/>
    <x v="12"/>
    <n v="9"/>
    <n v="16"/>
    <n v="1696.78"/>
    <n v="1541.07"/>
    <n v="24657.119999999999"/>
    <n v="27148.48"/>
    <n v="-2491.3600000000006"/>
    <n v="-125.1231041941725"/>
    <n v="-2616.4831041941729"/>
    <n v="0"/>
    <n v="0"/>
    <n v="0"/>
    <n v="-2616.4831041941729"/>
  </r>
  <r>
    <x v="8"/>
    <d v="2019-10-03T00:00:00"/>
    <d v="2019-10-18T00:00:00"/>
    <x v="12"/>
    <n v="9"/>
    <n v="13"/>
    <n v="1696.78"/>
    <n v="1541.07"/>
    <n v="20033.91"/>
    <n v="22058.14"/>
    <n v="-2024.2299999999996"/>
    <n v="-101.66252215776515"/>
    <n v="-2125.8925221577647"/>
    <n v="0"/>
    <n v="0"/>
    <n v="0"/>
    <n v="-2125.8925221577647"/>
  </r>
  <r>
    <x v="9"/>
    <d v="2019-11-05T00:00:00"/>
    <d v="2019-11-20T00:00:00"/>
    <x v="12"/>
    <n v="9"/>
    <n v="12"/>
    <n v="1696.78"/>
    <n v="1541.07"/>
    <n v="18492.84"/>
    <n v="20361.36"/>
    <n v="-1868.5200000000004"/>
    <n v="-93.842328145629381"/>
    <n v="-1962.3623281456298"/>
    <n v="0"/>
    <n v="0"/>
    <n v="0"/>
    <n v="-1962.3623281456298"/>
  </r>
  <r>
    <x v="10"/>
    <d v="2019-12-04T00:00:00"/>
    <d v="2019-12-19T00:00:00"/>
    <x v="12"/>
    <n v="9"/>
    <n v="9"/>
    <n v="1696.78"/>
    <n v="1541.07"/>
    <n v="13869.63"/>
    <n v="15271.02"/>
    <n v="-1401.3900000000012"/>
    <n v="-70.381746109222036"/>
    <n v="-1471.7717461092234"/>
    <n v="0"/>
    <n v="0"/>
    <n v="0"/>
    <n v="-1471.7717461092234"/>
  </r>
  <r>
    <x v="11"/>
    <d v="2020-01-03T00:00:00"/>
    <d v="2020-01-20T00:00:00"/>
    <x v="12"/>
    <n v="9"/>
    <n v="10"/>
    <n v="1696.78"/>
    <n v="1541.07"/>
    <n v="15410.699999999999"/>
    <n v="16967.8"/>
    <n v="-1557.1000000000004"/>
    <n v="-78.201940121357808"/>
    <n v="-1635.3019401213583"/>
    <n v="0"/>
    <n v="0"/>
    <n v="0"/>
    <n v="-1635.3019401213583"/>
  </r>
  <r>
    <x v="0"/>
    <d v="2019-02-05T00:00:00"/>
    <d v="2019-02-20T00:00:00"/>
    <x v="13"/>
    <n v="9"/>
    <n v="22"/>
    <n v="1696.78"/>
    <n v="1541.07"/>
    <n v="33903.54"/>
    <n v="37329.159999999996"/>
    <n v="-3425.6199999999953"/>
    <n v="-172.04426826698719"/>
    <n v="-3597.6642682669826"/>
    <n v="0"/>
    <n v="0"/>
    <n v="0"/>
    <n v="-3597.6642682669826"/>
  </r>
  <r>
    <x v="1"/>
    <d v="2019-03-05T00:00:00"/>
    <d v="2019-03-20T00:00:00"/>
    <x v="13"/>
    <n v="9"/>
    <n v="20"/>
    <n v="1696.78"/>
    <n v="1541.07"/>
    <n v="30821.399999999998"/>
    <n v="33935.599999999999"/>
    <n v="-3114.2000000000007"/>
    <n v="-156.40388024271562"/>
    <n v="-3270.6038802427165"/>
    <n v="0"/>
    <n v="0"/>
    <n v="0"/>
    <n v="-3270.6038802427165"/>
  </r>
  <r>
    <x v="2"/>
    <d v="2019-04-03T00:00:00"/>
    <d v="2019-04-18T00:00:00"/>
    <x v="13"/>
    <n v="9"/>
    <n v="21"/>
    <n v="1696.78"/>
    <n v="1541.07"/>
    <n v="32362.469999999998"/>
    <n v="35632.379999999997"/>
    <n v="-3269.91"/>
    <n v="-164.22407425485139"/>
    <n v="-3434.1340742548514"/>
    <n v="0"/>
    <n v="0"/>
    <n v="0"/>
    <n v="-3434.1340742548514"/>
  </r>
  <r>
    <x v="3"/>
    <d v="2019-05-03T00:00:00"/>
    <d v="2019-05-20T00:00:00"/>
    <x v="13"/>
    <n v="9"/>
    <n v="21"/>
    <n v="1696.78"/>
    <n v="1541.07"/>
    <n v="32362.469999999998"/>
    <n v="35632.379999999997"/>
    <n v="-3269.91"/>
    <n v="-164.22407425485139"/>
    <n v="-3434.1340742548514"/>
    <n v="0"/>
    <n v="0"/>
    <n v="0"/>
    <n v="-3434.1340742548514"/>
  </r>
  <r>
    <x v="4"/>
    <d v="2019-06-05T00:00:00"/>
    <d v="2019-06-20T00:00:00"/>
    <x v="13"/>
    <n v="9"/>
    <n v="30"/>
    <n v="1696.78"/>
    <n v="1541.07"/>
    <n v="46232.1"/>
    <n v="50903.4"/>
    <n v="-4671.3000000000029"/>
    <n v="-234.60582036407345"/>
    <n v="-4905.9058203640761"/>
    <n v="0"/>
    <n v="0"/>
    <n v="0"/>
    <n v="-4905.9058203640761"/>
  </r>
  <r>
    <x v="5"/>
    <d v="2019-07-03T00:00:00"/>
    <d v="2019-07-18T00:00:00"/>
    <x v="13"/>
    <n v="9"/>
    <n v="32"/>
    <n v="1696.78"/>
    <n v="1541.07"/>
    <n v="49314.239999999998"/>
    <n v="54296.959999999999"/>
    <n v="-4982.7200000000012"/>
    <n v="-250.246208388345"/>
    <n v="-5232.9662083883459"/>
    <n v="0"/>
    <n v="0"/>
    <n v="0"/>
    <n v="-5232.9662083883459"/>
  </r>
  <r>
    <x v="6"/>
    <d v="2019-08-05T00:00:00"/>
    <d v="2019-08-20T00:00:00"/>
    <x v="13"/>
    <n v="9"/>
    <n v="33"/>
    <n v="1696.78"/>
    <n v="1541.07"/>
    <n v="50855.31"/>
    <n v="55993.74"/>
    <n v="-5138.43"/>
    <n v="-258.0664024004808"/>
    <n v="-5396.4964024004812"/>
    <n v="0"/>
    <n v="0"/>
    <n v="0"/>
    <n v="-5396.4964024004812"/>
  </r>
  <r>
    <x v="7"/>
    <d v="2019-09-04T00:00:00"/>
    <d v="2019-09-19T00:00:00"/>
    <x v="13"/>
    <n v="9"/>
    <n v="36"/>
    <n v="1696.78"/>
    <n v="1541.07"/>
    <n v="55478.52"/>
    <n v="61084.08"/>
    <n v="-5605.5600000000049"/>
    <n v="-281.52698443688814"/>
    <n v="-5887.0869844368935"/>
    <n v="0"/>
    <n v="0"/>
    <n v="0"/>
    <n v="-5887.0869844368935"/>
  </r>
  <r>
    <x v="8"/>
    <d v="2019-10-03T00:00:00"/>
    <d v="2019-10-18T00:00:00"/>
    <x v="13"/>
    <n v="9"/>
    <n v="34"/>
    <n v="1696.78"/>
    <n v="1541.07"/>
    <n v="52396.38"/>
    <n v="57690.52"/>
    <n v="-5294.1399999999994"/>
    <n v="-265.8865964126166"/>
    <n v="-5560.0265964126156"/>
    <n v="0"/>
    <n v="0"/>
    <n v="0"/>
    <n v="-5560.0265964126156"/>
  </r>
  <r>
    <x v="9"/>
    <d v="2019-11-05T00:00:00"/>
    <d v="2019-11-20T00:00:00"/>
    <x v="13"/>
    <n v="9"/>
    <n v="34"/>
    <n v="1696.78"/>
    <n v="1541.07"/>
    <n v="52396.38"/>
    <n v="57690.52"/>
    <n v="-5294.1399999999994"/>
    <n v="-265.8865964126166"/>
    <n v="-5560.0265964126156"/>
    <n v="0"/>
    <n v="0"/>
    <n v="0"/>
    <n v="-5560.0265964126156"/>
  </r>
  <r>
    <x v="10"/>
    <d v="2019-12-04T00:00:00"/>
    <d v="2019-12-19T00:00:00"/>
    <x v="13"/>
    <n v="9"/>
    <n v="21"/>
    <n v="1696.78"/>
    <n v="1541.07"/>
    <n v="32362.469999999998"/>
    <n v="35632.379999999997"/>
    <n v="-3269.91"/>
    <n v="-164.22407425485139"/>
    <n v="-3434.1340742548514"/>
    <n v="0"/>
    <n v="0"/>
    <n v="0"/>
    <n v="-3434.1340742548514"/>
  </r>
  <r>
    <x v="11"/>
    <d v="2020-01-03T00:00:00"/>
    <d v="2020-01-20T00:00:00"/>
    <x v="13"/>
    <n v="9"/>
    <n v="21"/>
    <n v="1696.78"/>
    <n v="1541.07"/>
    <n v="32362.469999999998"/>
    <n v="35632.379999999997"/>
    <n v="-3269.91"/>
    <n v="-164.22407425485139"/>
    <n v="-3434.1340742548514"/>
    <n v="0"/>
    <n v="0"/>
    <n v="0"/>
    <n v="-3434.1340742548514"/>
  </r>
  <r>
    <x v="0"/>
    <d v="2019-02-05T00:00:00"/>
    <d v="2019-02-20T00:00:00"/>
    <x v="14"/>
    <n v="9"/>
    <n v="43"/>
    <n v="1696.78"/>
    <n v="1541.07"/>
    <n v="66266.009999999995"/>
    <n v="72961.539999999994"/>
    <n v="-6695.5299999999988"/>
    <n v="-336.26834252183863"/>
    <n v="-7031.7983425218372"/>
    <n v="0"/>
    <n v="0"/>
    <n v="0"/>
    <n v="-7031.7983425218372"/>
  </r>
  <r>
    <x v="1"/>
    <d v="2019-03-05T00:00:00"/>
    <d v="2019-03-20T00:00:00"/>
    <x v="14"/>
    <n v="9"/>
    <n v="42"/>
    <n v="1696.78"/>
    <n v="1541.07"/>
    <n v="64724.939999999995"/>
    <n v="71264.759999999995"/>
    <n v="-6539.82"/>
    <n v="-328.44814850970278"/>
    <n v="-6868.2681485097028"/>
    <n v="0"/>
    <n v="0"/>
    <n v="0"/>
    <n v="-6868.2681485097028"/>
  </r>
  <r>
    <x v="2"/>
    <d v="2019-04-03T00:00:00"/>
    <d v="2019-04-18T00:00:00"/>
    <x v="14"/>
    <n v="9"/>
    <n v="42"/>
    <n v="1696.78"/>
    <n v="1541.07"/>
    <n v="64724.939999999995"/>
    <n v="71264.759999999995"/>
    <n v="-6539.82"/>
    <n v="-328.44814850970278"/>
    <n v="-6868.2681485097028"/>
    <n v="0"/>
    <n v="0"/>
    <n v="0"/>
    <n v="-6868.2681485097028"/>
  </r>
  <r>
    <x v="3"/>
    <d v="2019-05-03T00:00:00"/>
    <d v="2019-05-20T00:00:00"/>
    <x v="14"/>
    <n v="9"/>
    <n v="39"/>
    <n v="1696.78"/>
    <n v="1541.07"/>
    <n v="60101.729999999996"/>
    <n v="66174.42"/>
    <n v="-6072.6900000000023"/>
    <n v="-304.98756647329549"/>
    <n v="-6377.6775664732977"/>
    <n v="0"/>
    <n v="0"/>
    <n v="0"/>
    <n v="-6377.6775664732977"/>
  </r>
  <r>
    <x v="4"/>
    <d v="2019-06-05T00:00:00"/>
    <d v="2019-06-20T00:00:00"/>
    <x v="14"/>
    <n v="9"/>
    <n v="49"/>
    <n v="1696.78"/>
    <n v="1541.07"/>
    <n v="75512.429999999993"/>
    <n v="83142.22"/>
    <n v="-7629.7900000000081"/>
    <n v="-383.18950659465327"/>
    <n v="-8012.9795065946619"/>
    <n v="0"/>
    <n v="0"/>
    <n v="0"/>
    <n v="-8012.9795065946619"/>
  </r>
  <r>
    <x v="5"/>
    <d v="2019-07-03T00:00:00"/>
    <d v="2019-07-18T00:00:00"/>
    <x v="14"/>
    <n v="9"/>
    <n v="52"/>
    <n v="1696.78"/>
    <n v="1541.07"/>
    <n v="80135.64"/>
    <n v="88232.56"/>
    <n v="-8096.9199999999983"/>
    <n v="-406.65008863106061"/>
    <n v="-8503.5700886310588"/>
    <n v="0"/>
    <n v="0"/>
    <n v="0"/>
    <n v="-8503.5700886310588"/>
  </r>
  <r>
    <x v="6"/>
    <d v="2019-08-05T00:00:00"/>
    <d v="2019-08-20T00:00:00"/>
    <x v="14"/>
    <n v="9"/>
    <n v="53"/>
    <n v="1696.78"/>
    <n v="1541.07"/>
    <n v="81676.709999999992"/>
    <n v="89929.34"/>
    <n v="-8252.6300000000047"/>
    <n v="-414.47028264319641"/>
    <n v="-8667.1002826432014"/>
    <n v="0"/>
    <n v="0"/>
    <n v="0"/>
    <n v="-8667.1002826432014"/>
  </r>
  <r>
    <x v="7"/>
    <d v="2019-09-04T00:00:00"/>
    <d v="2019-09-19T00:00:00"/>
    <x v="14"/>
    <n v="9"/>
    <n v="53"/>
    <n v="1696.78"/>
    <n v="1541.07"/>
    <n v="81676.709999999992"/>
    <n v="89929.34"/>
    <n v="-8252.6300000000047"/>
    <n v="-414.47028264319641"/>
    <n v="-8667.1002826432014"/>
    <n v="0"/>
    <n v="0"/>
    <n v="0"/>
    <n v="-8667.1002826432014"/>
  </r>
  <r>
    <x v="8"/>
    <d v="2019-10-03T00:00:00"/>
    <d v="2019-10-18T00:00:00"/>
    <x v="14"/>
    <n v="9"/>
    <n v="49"/>
    <n v="1696.78"/>
    <n v="1541.07"/>
    <n v="75512.429999999993"/>
    <n v="83142.22"/>
    <n v="-7629.7900000000081"/>
    <n v="-383.18950659465327"/>
    <n v="-8012.9795065946619"/>
    <n v="0"/>
    <n v="0"/>
    <n v="0"/>
    <n v="-8012.9795065946619"/>
  </r>
  <r>
    <x v="9"/>
    <d v="2019-11-05T00:00:00"/>
    <d v="2019-11-20T00:00:00"/>
    <x v="14"/>
    <n v="9"/>
    <n v="49"/>
    <n v="1696.78"/>
    <n v="1541.07"/>
    <n v="75512.429999999993"/>
    <n v="83142.22"/>
    <n v="-7629.7900000000081"/>
    <n v="-383.18950659465327"/>
    <n v="-8012.9795065946619"/>
    <n v="0"/>
    <n v="0"/>
    <n v="0"/>
    <n v="-8012.9795065946619"/>
  </r>
  <r>
    <x v="10"/>
    <d v="2019-12-04T00:00:00"/>
    <d v="2019-12-19T00:00:00"/>
    <x v="14"/>
    <n v="9"/>
    <n v="35"/>
    <n v="1696.78"/>
    <n v="1541.07"/>
    <n v="53937.45"/>
    <n v="59387.299999999996"/>
    <n v="-5449.8499999999985"/>
    <n v="-273.70679042475234"/>
    <n v="-5723.5567904247509"/>
    <n v="0"/>
    <n v="0"/>
    <n v="0"/>
    <n v="-5723.5567904247509"/>
  </r>
  <r>
    <x v="11"/>
    <d v="2020-01-03T00:00:00"/>
    <d v="2020-01-20T00:00:00"/>
    <x v="14"/>
    <n v="9"/>
    <n v="35"/>
    <n v="1696.78"/>
    <n v="1541.07"/>
    <n v="53937.45"/>
    <n v="59387.299999999996"/>
    <n v="-5449.8499999999985"/>
    <n v="-273.70679042475234"/>
    <n v="-5723.5567904247509"/>
    <n v="0"/>
    <n v="0"/>
    <n v="0"/>
    <n v="-5723.5567904247509"/>
  </r>
  <r>
    <x v="0"/>
    <d v="2019-02-05T00:00:00"/>
    <d v="2019-02-20T00:00:00"/>
    <x v="15"/>
    <n v="9"/>
    <n v="104"/>
    <n v="1696.78"/>
    <n v="1541.07"/>
    <n v="160271.28"/>
    <n v="176465.12"/>
    <n v="-16193.839999999997"/>
    <n v="-813.30017726212122"/>
    <n v="-17007.140177262118"/>
    <n v="0"/>
    <n v="0"/>
    <n v="0"/>
    <n v="-17007.140177262118"/>
  </r>
  <r>
    <x v="1"/>
    <d v="2019-03-05T00:00:00"/>
    <d v="2019-03-20T00:00:00"/>
    <x v="15"/>
    <n v="9"/>
    <n v="103"/>
    <n v="1696.78"/>
    <n v="1541.07"/>
    <n v="158730.21"/>
    <n v="174768.34"/>
    <n v="-16038.130000000005"/>
    <n v="-805.47998324998548"/>
    <n v="-16843.609983249989"/>
    <n v="0"/>
    <n v="0"/>
    <n v="0"/>
    <n v="-16843.609983249989"/>
  </r>
  <r>
    <x v="2"/>
    <d v="2019-04-03T00:00:00"/>
    <d v="2019-04-18T00:00:00"/>
    <x v="15"/>
    <n v="9"/>
    <n v="105"/>
    <n v="1696.78"/>
    <n v="1541.07"/>
    <n v="161812.35"/>
    <n v="178161.9"/>
    <n v="-16349.549999999988"/>
    <n v="-821.12037127425697"/>
    <n v="-17170.670371274246"/>
    <n v="0"/>
    <n v="0"/>
    <n v="0"/>
    <n v="-17170.670371274246"/>
  </r>
  <r>
    <x v="3"/>
    <d v="2019-05-03T00:00:00"/>
    <d v="2019-05-20T00:00:00"/>
    <x v="15"/>
    <n v="9"/>
    <n v="104"/>
    <n v="1696.78"/>
    <n v="1541.07"/>
    <n v="160271.28"/>
    <n v="176465.12"/>
    <n v="-16193.839999999997"/>
    <n v="-813.30017726212122"/>
    <n v="-17007.140177262118"/>
    <n v="0"/>
    <n v="0"/>
    <n v="0"/>
    <n v="-17007.140177262118"/>
  </r>
  <r>
    <x v="4"/>
    <d v="2019-06-05T00:00:00"/>
    <d v="2019-06-20T00:00:00"/>
    <x v="15"/>
    <n v="9"/>
    <n v="106"/>
    <n v="1696.78"/>
    <n v="1541.07"/>
    <n v="163353.41999999998"/>
    <n v="179858.68"/>
    <n v="-16505.260000000009"/>
    <n v="-828.94056528639283"/>
    <n v="-17334.200565286403"/>
    <n v="0"/>
    <n v="0"/>
    <n v="0"/>
    <n v="-17334.200565286403"/>
  </r>
  <r>
    <x v="5"/>
    <d v="2019-07-03T00:00:00"/>
    <d v="2019-07-18T00:00:00"/>
    <x v="15"/>
    <n v="9"/>
    <n v="100"/>
    <n v="1696.78"/>
    <n v="1541.07"/>
    <n v="154107"/>
    <n v="169678"/>
    <n v="-15571"/>
    <n v="-782.01940121357813"/>
    <n v="-16353.019401213578"/>
    <n v="0"/>
    <n v="0"/>
    <n v="0"/>
    <n v="-16353.019401213578"/>
  </r>
  <r>
    <x v="6"/>
    <d v="2019-08-05T00:00:00"/>
    <d v="2019-08-20T00:00:00"/>
    <x v="15"/>
    <n v="9"/>
    <n v="117"/>
    <n v="1696.78"/>
    <n v="1541.07"/>
    <n v="180305.19"/>
    <n v="198523.26"/>
    <n v="-18218.070000000007"/>
    <n v="-914.96269941988635"/>
    <n v="-19133.032699419895"/>
    <n v="0"/>
    <n v="0"/>
    <n v="0"/>
    <n v="-19133.032699419895"/>
  </r>
  <r>
    <x v="7"/>
    <d v="2019-09-04T00:00:00"/>
    <d v="2019-09-19T00:00:00"/>
    <x v="15"/>
    <n v="9"/>
    <n v="116"/>
    <n v="1696.78"/>
    <n v="1541.07"/>
    <n v="178764.12"/>
    <n v="196826.48"/>
    <n v="-18062.360000000015"/>
    <n v="-907.14250540775072"/>
    <n v="-18969.502505407767"/>
    <n v="0"/>
    <n v="0"/>
    <n v="0"/>
    <n v="-18969.502505407767"/>
  </r>
  <r>
    <x v="8"/>
    <d v="2019-10-03T00:00:00"/>
    <d v="2019-10-18T00:00:00"/>
    <x v="15"/>
    <n v="9"/>
    <n v="113"/>
    <n v="1696.78"/>
    <n v="1541.07"/>
    <n v="174140.91"/>
    <n v="191736.13999999998"/>
    <n v="-17595.229999999981"/>
    <n v="-883.68192337134326"/>
    <n v="-18478.911923371325"/>
    <n v="0"/>
    <n v="0"/>
    <n v="0"/>
    <n v="-18478.911923371325"/>
  </r>
  <r>
    <x v="9"/>
    <d v="2019-11-05T00:00:00"/>
    <d v="2019-11-20T00:00:00"/>
    <x v="15"/>
    <n v="9"/>
    <n v="113"/>
    <n v="1696.78"/>
    <n v="1541.07"/>
    <n v="174140.91"/>
    <n v="191736.13999999998"/>
    <n v="-17595.229999999981"/>
    <n v="-883.68192337134326"/>
    <n v="-18478.911923371325"/>
    <n v="0"/>
    <n v="0"/>
    <n v="0"/>
    <n v="-18478.911923371325"/>
  </r>
  <r>
    <x v="10"/>
    <d v="2019-12-04T00:00:00"/>
    <d v="2019-12-19T00:00:00"/>
    <x v="15"/>
    <n v="9"/>
    <n v="104"/>
    <n v="1696.78"/>
    <n v="1541.07"/>
    <n v="160271.28"/>
    <n v="176465.12"/>
    <n v="-16193.839999999997"/>
    <n v="-813.30017726212122"/>
    <n v="-17007.140177262118"/>
    <n v="0"/>
    <n v="0"/>
    <n v="0"/>
    <n v="-17007.140177262118"/>
  </r>
  <r>
    <x v="11"/>
    <d v="2020-01-03T00:00:00"/>
    <d v="2020-01-20T00:00:00"/>
    <x v="15"/>
    <n v="9"/>
    <n v="41"/>
    <n v="1696.78"/>
    <n v="1541.07"/>
    <n v="63183.869999999995"/>
    <n v="69567.98"/>
    <n v="-6384.1100000000006"/>
    <n v="-320.62795449756703"/>
    <n v="-6704.7379544975674"/>
    <n v="0"/>
    <n v="0"/>
    <n v="0"/>
    <n v="-6704.737954497567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" dataOnRows="1" applyNumberFormats="0" applyBorderFormats="0" applyFontFormats="0" applyPatternFormats="0" applyAlignmentFormats="0" applyWidthHeightFormats="1" dataCaption="Data" updatedVersion="6" minRefreshableVersion="3" asteriskTotals="1" showMemberPropertyTips="0" useAutoFormatting="1" itemPrintTitles="1" createdVersion="6" indent="0" compact="0" compactData="0" gridDropZones="1">
  <location ref="A3:O123" firstHeaderRow="1" firstDataRow="2" firstDataCol="2"/>
  <pivotFields count="17">
    <pivotField axis="axisCol" compact="0" numFmtId="17" outline="0" subtotalTop="0" showAll="0" includeNewItemsInFilter="1">
      <items count="121">
        <item m="1" x="45"/>
        <item m="1" x="63"/>
        <item m="1" x="81"/>
        <item m="1" x="99"/>
        <item m="1" x="117"/>
        <item m="1" x="27"/>
        <item m="1" x="54"/>
        <item m="1" x="72"/>
        <item m="1" x="90"/>
        <item m="1" x="108"/>
        <item m="1" x="18"/>
        <item m="1" x="36"/>
        <item m="1" x="46"/>
        <item m="1" x="64"/>
        <item m="1" x="82"/>
        <item m="1" x="100"/>
        <item m="1" x="118"/>
        <item m="1" x="28"/>
        <item m="1" x="55"/>
        <item m="1" x="73"/>
        <item m="1" x="91"/>
        <item m="1" x="109"/>
        <item m="1" x="19"/>
        <item m="1" x="37"/>
        <item m="1" x="47"/>
        <item m="1" x="65"/>
        <item m="1" x="83"/>
        <item m="1" x="101"/>
        <item m="1" x="119"/>
        <item m="1" x="29"/>
        <item m="1" x="56"/>
        <item m="1" x="74"/>
        <item m="1" x="92"/>
        <item m="1" x="110"/>
        <item m="1" x="20"/>
        <item m="1" x="38"/>
        <item m="1" x="48"/>
        <item m="1" x="66"/>
        <item m="1" x="84"/>
        <item m="1" x="102"/>
        <item m="1" x="12"/>
        <item m="1" x="30"/>
        <item m="1" x="57"/>
        <item m="1" x="75"/>
        <item m="1" x="93"/>
        <item m="1" x="111"/>
        <item m="1" x="21"/>
        <item m="1" x="39"/>
        <item m="1" x="49"/>
        <item m="1" x="67"/>
        <item m="1" x="85"/>
        <item m="1" x="103"/>
        <item m="1" x="13"/>
        <item m="1" x="31"/>
        <item m="1" x="58"/>
        <item m="1" x="76"/>
        <item m="1" x="94"/>
        <item m="1" x="112"/>
        <item m="1" x="22"/>
        <item m="1" x="40"/>
        <item m="1" x="50"/>
        <item m="1" x="68"/>
        <item m="1" x="86"/>
        <item m="1" x="104"/>
        <item m="1" x="14"/>
        <item m="1" x="32"/>
        <item m="1" x="59"/>
        <item m="1" x="77"/>
        <item m="1" x="95"/>
        <item m="1" x="113"/>
        <item m="1" x="23"/>
        <item m="1" x="41"/>
        <item m="1" x="51"/>
        <item m="1" x="69"/>
        <item m="1" x="87"/>
        <item m="1" x="105"/>
        <item m="1" x="15"/>
        <item m="1" x="33"/>
        <item m="1" x="60"/>
        <item m="1" x="78"/>
        <item m="1" x="96"/>
        <item m="1" x="114"/>
        <item m="1" x="24"/>
        <item m="1" x="42"/>
        <item m="1" x="52"/>
        <item m="1" x="70"/>
        <item m="1" x="88"/>
        <item m="1" x="106"/>
        <item m="1" x="16"/>
        <item m="1" x="34"/>
        <item m="1" x="61"/>
        <item m="1" x="79"/>
        <item m="1" x="97"/>
        <item m="1" x="115"/>
        <item m="1" x="25"/>
        <item m="1" x="43"/>
        <item m="1" x="53"/>
        <item m="1" x="71"/>
        <item m="1" x="89"/>
        <item m="1" x="107"/>
        <item m="1" x="17"/>
        <item m="1" x="35"/>
        <item m="1" x="62"/>
        <item m="1" x="80"/>
        <item m="1" x="98"/>
        <item m="1" x="116"/>
        <item m="1" x="26"/>
        <item m="1" x="4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numFmtId="14" outline="0" subtotalTop="0" showAll="0" includeNewItemsInFilter="1"/>
    <pivotField compact="0" numFmtId="14" outline="0" subtotalTop="0" showAll="0" includeNewItemsInFilter="1"/>
    <pivotField axis="axisRow" compact="0" outline="0" subtotalTop="0" showAll="0" includeNewItemsInFilter="1">
      <items count="23">
        <item x="3"/>
        <item m="1" x="16"/>
        <item x="15"/>
        <item x="8"/>
        <item x="9"/>
        <item m="1" x="17"/>
        <item x="10"/>
        <item m="1" x="18"/>
        <item x="7"/>
        <item x="6"/>
        <item m="1" x="20"/>
        <item x="0"/>
        <item x="1"/>
        <item m="1" x="19"/>
        <item x="5"/>
        <item m="1" x="21"/>
        <item x="11"/>
        <item x="12"/>
        <item x="13"/>
        <item x="14"/>
        <item x="2"/>
        <item x="4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numFmtId="164" outline="0" subtotalTop="0" showAll="0" includeNewItemsInFilter="1"/>
    <pivotField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compact="0" numFmtId="164" outline="0" showAll="0" defaultSubtotal="0"/>
    <pivotField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/>
  </pivotFields>
  <rowFields count="2">
    <field x="3"/>
    <field x="-2"/>
  </rowFields>
  <rowItems count="119">
    <i>
      <x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3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7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0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t="grand">
      <x/>
    </i>
    <i t="grand" i="1">
      <x/>
    </i>
    <i t="grand" i="2">
      <x/>
    </i>
    <i t="grand" i="3">
      <x/>
    </i>
    <i t="grand" i="4">
      <x/>
    </i>
    <i t="grand" i="5">
      <x/>
    </i>
    <i t="grand" i="6">
      <x/>
    </i>
  </rowItems>
  <colFields count="1">
    <field x="0"/>
  </colFields>
  <colItems count="13"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 t="grand">
      <x/>
    </i>
  </colItems>
  <dataFields count="7">
    <dataField name="Sum of True-Up Charge" fld="8" baseField="0" baseItem="0"/>
    <dataField name="Sum of True-Up w/o Interest" fld="10" baseField="0" baseItem="0"/>
    <dataField name="Sum of Interest" fld="11" baseField="0" baseItem="0"/>
    <dataField name="Sum of Total True-up" fld="16" baseField="0" baseItem="0"/>
    <dataField name="Sum of Invoiced*** Charge (proj.)" fld="9" baseField="0" baseItem="0"/>
    <dataField name="Sum of Tax True Up Billing" fld="14" baseField="0" baseItem="0"/>
    <dataField name="Sum of Tax True Up" fld="15" baseField="0" baseItem="0"/>
  </dataFields>
  <formats count="171">
    <format dxfId="17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"/>
          </reference>
        </references>
      </pivotArea>
    </format>
    <format dxfId="16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2"/>
          </reference>
        </references>
      </pivotArea>
    </format>
    <format dxfId="16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3"/>
          </reference>
        </references>
      </pivotArea>
    </format>
    <format dxfId="16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4"/>
          </reference>
        </references>
      </pivotArea>
    </format>
    <format dxfId="164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5"/>
          </reference>
        </references>
      </pivotArea>
    </format>
    <format dxfId="163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6"/>
          </reference>
        </references>
      </pivotArea>
    </format>
    <format dxfId="162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7"/>
          </reference>
        </references>
      </pivotArea>
    </format>
    <format dxfId="161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8"/>
          </reference>
        </references>
      </pivotArea>
    </format>
    <format dxfId="16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9"/>
          </reference>
        </references>
      </pivotArea>
    </format>
    <format dxfId="15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0"/>
          </reference>
        </references>
      </pivotArea>
    </format>
    <format dxfId="15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1"/>
          </reference>
        </references>
      </pivotArea>
    </format>
    <format dxfId="15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2"/>
          </reference>
        </references>
      </pivotArea>
    </format>
    <format dxfId="15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3"/>
          </reference>
        </references>
      </pivotArea>
    </format>
    <format dxfId="15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4"/>
          </reference>
        </references>
      </pivotArea>
    </format>
    <format dxfId="154">
      <pivotArea field="3" grandRow="1" outline="0" axis="axisRow" fieldPosition="0">
        <references count="1">
          <reference field="4294967294" count="3" selected="0">
            <x v="1"/>
            <x v="2"/>
            <x v="3"/>
          </reference>
        </references>
      </pivotArea>
    </format>
    <format dxfId="153">
      <pivotArea outline="0" fieldPosition="0">
        <references count="3">
          <reference field="4294967294" count="1" selected="0">
            <x v="2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2">
      <pivotArea outline="0" fieldPosition="0">
        <references count="3">
          <reference field="4294967294" count="1" selected="0">
            <x v="3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1">
      <pivotArea grandRow="1" grandCol="1" outline="0" fieldPosition="0">
        <references count="1">
          <reference field="4294967294" count="5" selected="0">
            <x v="0"/>
            <x v="1"/>
            <x v="2"/>
            <x v="3"/>
            <x v="4"/>
          </reference>
        </references>
      </pivotArea>
    </format>
    <format dxfId="150">
      <pivotArea outline="0" fieldPosition="0"/>
    </format>
    <format dxfId="149">
      <pivotArea type="all" dataOnly="0" outline="0" fieldPosition="0"/>
    </format>
    <format dxfId="148">
      <pivotArea outline="0" fieldPosition="0"/>
    </format>
    <format dxfId="147">
      <pivotArea type="origin" dataOnly="0" labelOnly="1" outline="0" fieldPosition="0"/>
    </format>
    <format dxfId="146">
      <pivotArea field="0" type="button" dataOnly="0" labelOnly="1" outline="0" axis="axisCol" fieldPosition="0"/>
    </format>
    <format dxfId="145">
      <pivotArea type="topRight" dataOnly="0" labelOnly="1" outline="0" fieldPosition="0"/>
    </format>
    <format dxfId="144">
      <pivotArea field="3" type="button" dataOnly="0" labelOnly="1" outline="0" axis="axisRow" fieldPosition="0"/>
    </format>
    <format dxfId="143">
      <pivotArea field="-2" type="button" dataOnly="0" labelOnly="1" outline="0" axis="axisRow" fieldPosition="1"/>
    </format>
    <format dxfId="142">
      <pivotArea dataOnly="0" labelOnly="1" outline="0" fieldPosition="0">
        <references count="1">
          <reference field="3" count="0"/>
        </references>
      </pivotArea>
    </format>
    <format dxfId="14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4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3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3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3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3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7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26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25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24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23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2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1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0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9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8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7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16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15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14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13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2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1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0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9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8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7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0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0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0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0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9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9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9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9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9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9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9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9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8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8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8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8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8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8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8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8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7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7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7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76">
      <pivotArea dataOnly="0" labelOnly="1" outline="0" fieldPosition="0">
        <references count="1">
          <reference field="0" count="0"/>
        </references>
      </pivotArea>
    </format>
    <format dxfId="75">
      <pivotArea dataOnly="0" labelOnly="1" grandCol="1" outline="0" fieldPosition="0"/>
    </format>
    <format dxfId="74">
      <pivotArea type="all" dataOnly="0" outline="0" fieldPosition="0"/>
    </format>
    <format dxfId="73">
      <pivotArea outline="0" fieldPosition="0"/>
    </format>
    <format dxfId="72">
      <pivotArea type="origin" dataOnly="0" labelOnly="1" outline="0" fieldPosition="0"/>
    </format>
    <format dxfId="71">
      <pivotArea field="0" type="button" dataOnly="0" labelOnly="1" outline="0" axis="axisCol" fieldPosition="0"/>
    </format>
    <format dxfId="70">
      <pivotArea type="topRight" dataOnly="0" labelOnly="1" outline="0" fieldPosition="0"/>
    </format>
    <format dxfId="69">
      <pivotArea field="3" type="button" dataOnly="0" labelOnly="1" outline="0" axis="axisRow" fieldPosition="0"/>
    </format>
    <format dxfId="68">
      <pivotArea field="-2" type="button" dataOnly="0" labelOnly="1" outline="0" axis="axisRow" fieldPosition="1"/>
    </format>
    <format dxfId="67">
      <pivotArea dataOnly="0" labelOnly="1" outline="0" fieldPosition="0">
        <references count="1">
          <reference field="3" count="0"/>
        </references>
      </pivotArea>
    </format>
    <format dxfId="6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6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6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6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6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6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6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5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5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5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5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2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1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0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9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8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7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46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45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44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43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2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1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0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9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8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7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36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35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34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33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2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2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2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2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2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1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1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1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1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1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1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1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1">
      <pivotArea dataOnly="0" labelOnly="1" outline="0" fieldPosition="0">
        <references count="1">
          <reference field="0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D7" sqref="D7"/>
    </sheetView>
  </sheetViews>
  <sheetFormatPr defaultColWidth="8.7265625" defaultRowHeight="12.5" x14ac:dyDescent="0.25"/>
  <cols>
    <col min="1" max="16384" width="8.7265625" style="1"/>
  </cols>
  <sheetData>
    <row r="1" spans="1:2" x14ac:dyDescent="0.25">
      <c r="A1" s="1" t="s">
        <v>63</v>
      </c>
    </row>
    <row r="3" spans="1:2" x14ac:dyDescent="0.25">
      <c r="A3" s="2">
        <v>1</v>
      </c>
      <c r="B3" s="3" t="s">
        <v>65</v>
      </c>
    </row>
    <row r="4" spans="1:2" ht="13" x14ac:dyDescent="0.3">
      <c r="A4" s="2">
        <v>2</v>
      </c>
      <c r="B4" s="3" t="s">
        <v>64</v>
      </c>
    </row>
    <row r="5" spans="1:2" ht="13" x14ac:dyDescent="0.3">
      <c r="A5" s="2">
        <v>3</v>
      </c>
      <c r="B5" s="3" t="s">
        <v>66</v>
      </c>
    </row>
    <row r="6" spans="1:2" ht="13" x14ac:dyDescent="0.3">
      <c r="A6" s="2">
        <v>4</v>
      </c>
      <c r="B6" s="4" t="s">
        <v>80</v>
      </c>
    </row>
    <row r="7" spans="1:2" x14ac:dyDescent="0.25">
      <c r="A7" s="2">
        <v>5</v>
      </c>
      <c r="B7" s="3" t="s">
        <v>67</v>
      </c>
    </row>
    <row r="8" spans="1:2" x14ac:dyDescent="0.25">
      <c r="A8" s="2">
        <v>6</v>
      </c>
      <c r="B8" s="3" t="s">
        <v>68</v>
      </c>
    </row>
    <row r="9" spans="1:2" x14ac:dyDescent="0.25">
      <c r="A9" s="2">
        <v>7</v>
      </c>
      <c r="B9" s="5" t="s">
        <v>69</v>
      </c>
    </row>
    <row r="10" spans="1:2" ht="13" x14ac:dyDescent="0.3">
      <c r="A10" s="2">
        <v>8</v>
      </c>
      <c r="B10" s="3" t="s">
        <v>72</v>
      </c>
    </row>
    <row r="11" spans="1:2" x14ac:dyDescent="0.25">
      <c r="A11" s="2"/>
      <c r="B11" s="3" t="s">
        <v>73</v>
      </c>
    </row>
    <row r="12" spans="1:2" x14ac:dyDescent="0.25">
      <c r="A12" s="2"/>
      <c r="B12" s="5" t="s">
        <v>74</v>
      </c>
    </row>
    <row r="13" spans="1:2" x14ac:dyDescent="0.25">
      <c r="A13" s="2"/>
      <c r="B13" s="5" t="s">
        <v>75</v>
      </c>
    </row>
    <row r="14" spans="1:2" x14ac:dyDescent="0.25">
      <c r="A14" s="2">
        <v>9</v>
      </c>
      <c r="B14" s="3" t="s">
        <v>76</v>
      </c>
    </row>
    <row r="15" spans="1:2" x14ac:dyDescent="0.25">
      <c r="A15" s="2">
        <v>10</v>
      </c>
      <c r="B15" s="3" t="s">
        <v>78</v>
      </c>
    </row>
    <row r="16" spans="1:2" x14ac:dyDescent="0.25">
      <c r="A16" s="2">
        <v>11</v>
      </c>
      <c r="B16" s="3" t="s">
        <v>79</v>
      </c>
    </row>
    <row r="17" spans="1:1" x14ac:dyDescent="0.25">
      <c r="A17" s="2"/>
    </row>
  </sheetData>
  <phoneticPr fontId="6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tabSelected="1" zoomScale="85" zoomScaleNormal="85" zoomScaleSheetLayoutView="100" workbookViewId="0"/>
  </sheetViews>
  <sheetFormatPr defaultColWidth="33.26953125" defaultRowHeight="12.5" x14ac:dyDescent="0.25"/>
  <cols>
    <col min="1" max="1" width="9.1796875" style="1" customWidth="1"/>
    <col min="2" max="2" width="14" style="1" customWidth="1"/>
    <col min="3" max="3" width="21.81640625" style="1" customWidth="1"/>
    <col min="4" max="4" width="15.54296875" style="1" customWidth="1"/>
    <col min="5" max="16" width="14" style="1" customWidth="1"/>
    <col min="17" max="17" width="15" style="1" customWidth="1"/>
    <col min="18" max="110" width="31.7265625" style="1" customWidth="1"/>
    <col min="111" max="111" width="11.453125" style="1" customWidth="1"/>
    <col min="112" max="16384" width="33.26953125" style="1"/>
  </cols>
  <sheetData>
    <row r="1" spans="2:19" ht="13" x14ac:dyDescent="0.3">
      <c r="C1" s="247" t="str">
        <f>+Transactions!B1</f>
        <v>AEPTCo Formula Rate -- FERC Docket ER18-195</v>
      </c>
      <c r="D1" s="247"/>
      <c r="E1" s="247"/>
      <c r="F1" s="247"/>
      <c r="G1" s="247"/>
      <c r="H1" s="247"/>
      <c r="I1" s="247"/>
      <c r="L1" s="6">
        <v>2020</v>
      </c>
    </row>
    <row r="2" spans="2:19" ht="13" x14ac:dyDescent="0.3">
      <c r="C2" s="247" t="s">
        <v>36</v>
      </c>
      <c r="D2" s="247"/>
      <c r="E2" s="247"/>
      <c r="F2" s="247"/>
      <c r="G2" s="247"/>
      <c r="H2" s="247"/>
      <c r="I2" s="247"/>
    </row>
    <row r="3" spans="2:19" ht="13" x14ac:dyDescent="0.3">
      <c r="C3" s="247" t="str">
        <f>"for period 01/01/"&amp;F8&amp;" - 12/31/"&amp;F8</f>
        <v>for period 01/01/2019 - 12/31/2019</v>
      </c>
      <c r="D3" s="247"/>
      <c r="E3" s="247"/>
      <c r="F3" s="247"/>
      <c r="G3" s="247"/>
      <c r="H3" s="247"/>
      <c r="I3" s="247"/>
    </row>
    <row r="4" spans="2:19" ht="13" x14ac:dyDescent="0.3">
      <c r="C4" s="247" t="s">
        <v>94</v>
      </c>
      <c r="D4" s="247"/>
      <c r="E4" s="247"/>
      <c r="F4" s="247"/>
      <c r="G4" s="247"/>
      <c r="H4" s="247"/>
      <c r="I4" s="247"/>
    </row>
    <row r="5" spans="2:19" x14ac:dyDescent="0.25">
      <c r="C5" s="7" t="str">
        <f>"Prepared:  May 22_, "&amp;L1&amp;""</f>
        <v>Prepared:  May 22_, 2020</v>
      </c>
      <c r="D5" s="8"/>
    </row>
    <row r="6" spans="2:19" x14ac:dyDescent="0.25">
      <c r="C6" s="9"/>
    </row>
    <row r="7" spans="2:19" ht="13" x14ac:dyDescent="0.3">
      <c r="C7" s="10"/>
    </row>
    <row r="8" spans="2:19" ht="27.75" customHeight="1" thickBot="1" x14ac:dyDescent="0.3">
      <c r="F8" s="11">
        <f>Transactions!R1</f>
        <v>2019</v>
      </c>
    </row>
    <row r="9" spans="2:19" ht="20.25" customHeight="1" x14ac:dyDescent="0.3">
      <c r="E9" s="12" t="s">
        <v>93</v>
      </c>
      <c r="F9" s="13"/>
      <c r="G9" s="14"/>
      <c r="H9" s="15"/>
      <c r="L9" s="2"/>
    </row>
    <row r="10" spans="2:19" ht="42" customHeight="1" thickBot="1" x14ac:dyDescent="0.3">
      <c r="B10" s="16"/>
      <c r="E10" s="17" t="str">
        <f>"(per "&amp;$F8&amp;" Projections "&amp;$F8&amp;")"</f>
        <v>(per 2019 Projections 2019)</v>
      </c>
      <c r="F10" s="18" t="str">
        <f>"(per "&amp;F8+1&amp;" Update of May "&amp;F8+1&amp;")"</f>
        <v>(per 2020 Update of May 2020)</v>
      </c>
      <c r="G10" s="19"/>
      <c r="H10" s="20"/>
    </row>
    <row r="11" spans="2:19" ht="21.75" customHeight="1" x14ac:dyDescent="0.25">
      <c r="B11" s="21"/>
      <c r="C11" s="22" t="s">
        <v>39</v>
      </c>
      <c r="D11" s="23" t="s">
        <v>37</v>
      </c>
      <c r="E11" s="24">
        <f>Transactions!K2</f>
        <v>170913627.58623862</v>
      </c>
      <c r="F11" s="25"/>
      <c r="G11" s="26"/>
      <c r="H11" s="27"/>
    </row>
    <row r="12" spans="2:19" ht="21.75" customHeight="1" x14ac:dyDescent="0.25">
      <c r="B12" s="21"/>
      <c r="C12" s="28"/>
      <c r="D12" s="29" t="s">
        <v>42</v>
      </c>
      <c r="E12" s="30"/>
      <c r="F12" s="31">
        <f>+Transactions!J2</f>
        <v>159075181.09769189</v>
      </c>
      <c r="G12" s="32"/>
      <c r="H12" s="33"/>
      <c r="K12" s="34"/>
    </row>
    <row r="13" spans="2:19" ht="21.75" customHeight="1" x14ac:dyDescent="0.25">
      <c r="B13" s="35"/>
      <c r="C13" s="36" t="s">
        <v>40</v>
      </c>
      <c r="D13" s="37" t="s">
        <v>38</v>
      </c>
      <c r="E13" s="38">
        <f>Transactions!K3</f>
        <v>1696.78</v>
      </c>
      <c r="F13" s="33"/>
      <c r="G13" s="39"/>
      <c r="H13" s="40"/>
      <c r="K13" s="41"/>
    </row>
    <row r="14" spans="2:19" ht="21.75" customHeight="1" thickBot="1" x14ac:dyDescent="0.3">
      <c r="B14" s="16"/>
      <c r="C14" s="42"/>
      <c r="D14" s="43" t="s">
        <v>41</v>
      </c>
      <c r="E14" s="44"/>
      <c r="F14" s="45">
        <f>+Transactions!J3</f>
        <v>1541.07</v>
      </c>
      <c r="G14" s="46"/>
      <c r="H14" s="33"/>
      <c r="K14" s="34"/>
    </row>
    <row r="15" spans="2:19" x14ac:dyDescent="0.25">
      <c r="B15" s="21"/>
      <c r="E15" s="47"/>
      <c r="K15" s="41"/>
    </row>
    <row r="16" spans="2:19" ht="13" x14ac:dyDescent="0.3">
      <c r="B16" s="35"/>
      <c r="C16" s="35"/>
      <c r="D16" s="48"/>
      <c r="E16" s="35"/>
      <c r="F16" s="49"/>
      <c r="G16" s="50"/>
      <c r="H16" s="50"/>
      <c r="K16" s="51"/>
      <c r="L16" s="47"/>
      <c r="N16" s="52"/>
      <c r="O16" s="53"/>
      <c r="P16" s="53"/>
      <c r="Q16" s="53"/>
      <c r="R16" s="53"/>
      <c r="S16" s="53"/>
    </row>
    <row r="17" spans="2:19" ht="13" x14ac:dyDescent="0.3">
      <c r="C17" s="10"/>
      <c r="K17" s="41"/>
      <c r="N17" s="54"/>
      <c r="O17" s="53"/>
      <c r="P17" s="53"/>
      <c r="Q17" s="53"/>
      <c r="R17" s="53"/>
      <c r="S17" s="53"/>
    </row>
    <row r="18" spans="2:19" x14ac:dyDescent="0.25">
      <c r="C18" s="52"/>
      <c r="D18" s="52"/>
      <c r="E18" s="52"/>
      <c r="F18" s="52"/>
      <c r="G18" s="52"/>
      <c r="H18" s="52"/>
      <c r="I18" s="52"/>
      <c r="N18" s="52"/>
      <c r="O18" s="53"/>
      <c r="P18" s="53"/>
      <c r="Q18" s="53"/>
      <c r="R18" s="53"/>
      <c r="S18" s="53"/>
    </row>
    <row r="19" spans="2:19" ht="21" customHeight="1" thickBot="1" x14ac:dyDescent="0.3">
      <c r="C19" s="55" t="s">
        <v>31</v>
      </c>
      <c r="D19" s="55" t="s">
        <v>32</v>
      </c>
      <c r="E19" s="56" t="s">
        <v>33</v>
      </c>
      <c r="F19" s="56" t="s">
        <v>34</v>
      </c>
      <c r="G19" s="55" t="s">
        <v>35</v>
      </c>
      <c r="H19" s="55" t="s">
        <v>92</v>
      </c>
      <c r="I19" s="56" t="s">
        <v>91</v>
      </c>
      <c r="J19" s="57" t="s">
        <v>95</v>
      </c>
      <c r="K19" s="58" t="s">
        <v>96</v>
      </c>
      <c r="N19" s="52"/>
      <c r="O19" s="53"/>
      <c r="P19" s="53"/>
      <c r="Q19" s="53"/>
      <c r="R19" s="53"/>
      <c r="S19" s="53"/>
    </row>
    <row r="20" spans="2:19" ht="53.25" customHeight="1" x14ac:dyDescent="0.25">
      <c r="C20" s="59" t="s">
        <v>50</v>
      </c>
      <c r="D20" s="60" t="str">
        <f>"Actual Charge
("&amp;F8&amp;" True-Up)"</f>
        <v>Actual Charge
(2019 True-Up)</v>
      </c>
      <c r="E20" s="61" t="str">
        <f>"Invoiced for
CY"&amp;F8&amp;" Transmission Service"</f>
        <v>Invoiced for
CY2019 Transmission Service</v>
      </c>
      <c r="F20" s="60" t="s">
        <v>102</v>
      </c>
      <c r="G20" s="62" t="s">
        <v>103</v>
      </c>
      <c r="H20" s="62" t="s">
        <v>104</v>
      </c>
      <c r="I20" s="60" t="s">
        <v>101</v>
      </c>
      <c r="J20" s="63" t="s">
        <v>97</v>
      </c>
      <c r="K20" s="64" t="s">
        <v>98</v>
      </c>
      <c r="N20" s="52"/>
      <c r="O20" s="53"/>
      <c r="P20" s="53"/>
      <c r="Q20" s="53"/>
      <c r="R20" s="53"/>
      <c r="S20" s="53"/>
    </row>
    <row r="21" spans="2:19" x14ac:dyDescent="0.25">
      <c r="B21" s="65"/>
      <c r="C21" s="66" t="s">
        <v>14</v>
      </c>
      <c r="D21" s="67">
        <f>GETPIVOTDATA("Sum of "&amp;T(Transactions!$J$19),Pivot!$A$3,"Customer",C21)</f>
        <v>14157810.09</v>
      </c>
      <c r="E21" s="67">
        <f>GETPIVOTDATA("Sum of "&amp;T(Transactions!$K$19),Pivot!$A$3,"Customer",C21)</f>
        <v>15588317.859999998</v>
      </c>
      <c r="F21" s="67">
        <f>D21-E21</f>
        <v>-1430507.7699999977</v>
      </c>
      <c r="G21" s="53">
        <f>+GETPIVOTDATA("Sum of "&amp;T(Transactions!$M$19),Pivot!$A$3,"Customer","AECC")</f>
        <v>-71844.122389491415</v>
      </c>
      <c r="H21" s="53">
        <f>GETPIVOTDATA("Sum of "&amp;T(Transactions!$Q$19),Pivot!$A$3,"Customer","AECC")</f>
        <v>0</v>
      </c>
      <c r="I21" s="68">
        <f>F21+G21-H21</f>
        <v>-1502351.8923894891</v>
      </c>
      <c r="J21" s="69">
        <v>0</v>
      </c>
      <c r="K21" s="70">
        <f>I21+J21</f>
        <v>-1502351.8923894891</v>
      </c>
      <c r="L21" s="65"/>
      <c r="N21" s="52"/>
      <c r="O21" s="53"/>
      <c r="P21" s="53"/>
      <c r="Q21" s="53"/>
      <c r="R21" s="53"/>
      <c r="S21" s="53"/>
    </row>
    <row r="22" spans="2:19" x14ac:dyDescent="0.25">
      <c r="B22" s="65"/>
      <c r="C22" s="71" t="s">
        <v>83</v>
      </c>
      <c r="D22" s="67">
        <f>GETPIVOTDATA("Sum of "&amp;T(Transactions!$J$19),Pivot!$A$3,"Customer",C22)</f>
        <v>736631.46</v>
      </c>
      <c r="E22" s="67">
        <f>GETPIVOTDATA("Sum of "&amp;T(Transactions!$K$19),Pivot!$A$3,"Customer",C22)</f>
        <v>811060.84</v>
      </c>
      <c r="F22" s="67">
        <f>D22-E22</f>
        <v>-74429.38</v>
      </c>
      <c r="G22" s="53">
        <f>+GETPIVOTDATA("Sum of "&amp;T(Transactions!$M$19),Pivot!$A$3,"Customer","AECI")</f>
        <v>-3738.0527378009033</v>
      </c>
      <c r="H22" s="53">
        <f>GETPIVOTDATA("Sum of "&amp;T(Transactions!$Q$19),Pivot!$A$3,"Customer",C22)</f>
        <v>0</v>
      </c>
      <c r="I22" s="68">
        <f t="shared" ref="I22:I33" si="0">F22+G22-H22</f>
        <v>-78167.432737800904</v>
      </c>
      <c r="J22" s="69">
        <v>0</v>
      </c>
      <c r="K22" s="70">
        <f t="shared" ref="K22:K39" si="1">I22+J22</f>
        <v>-78167.432737800904</v>
      </c>
      <c r="L22" s="65"/>
      <c r="N22" s="52"/>
      <c r="O22" s="53"/>
      <c r="P22" s="53"/>
      <c r="Q22" s="53"/>
      <c r="R22" s="53"/>
      <c r="S22" s="53"/>
    </row>
    <row r="23" spans="2:19" x14ac:dyDescent="0.25">
      <c r="B23" s="65"/>
      <c r="C23" s="71" t="s">
        <v>54</v>
      </c>
      <c r="D23" s="67">
        <f>GETPIVOTDATA("Sum of "&amp;T(Transactions!$J$19),Pivot!$A$3,"Customer",C23)</f>
        <v>2327015.6999999997</v>
      </c>
      <c r="E23" s="67">
        <f>GETPIVOTDATA("Sum of "&amp;T(Transactions!$K$19),Pivot!$A$3,"Customer",C23)</f>
        <v>2562137.8000000003</v>
      </c>
      <c r="F23" s="67">
        <f t="shared" ref="F23:F35" si="2">D23-E23</f>
        <v>-235122.10000000056</v>
      </c>
      <c r="G23" s="53">
        <f>+GETPIVOTDATA("Sum of "&amp;T(Transactions!$M$19),Pivot!$A$3,"Customer","Bentonville, AR")</f>
        <v>-11808.49295832503</v>
      </c>
      <c r="H23" s="53">
        <f>GETPIVOTDATA("Sum of "&amp;T(Transactions!$Q$19),Pivot!$A$3,"Customer",C23)</f>
        <v>0</v>
      </c>
      <c r="I23" s="68">
        <f t="shared" si="0"/>
        <v>-246930.59295832558</v>
      </c>
      <c r="J23" s="69">
        <v>0</v>
      </c>
      <c r="K23" s="70">
        <f t="shared" si="1"/>
        <v>-246930.59295832558</v>
      </c>
      <c r="L23" s="65"/>
      <c r="N23" s="52"/>
      <c r="O23" s="53"/>
      <c r="P23" s="53"/>
      <c r="Q23" s="53"/>
      <c r="R23" s="53"/>
      <c r="S23" s="53"/>
    </row>
    <row r="24" spans="2:19" x14ac:dyDescent="0.25">
      <c r="B24" s="65"/>
      <c r="C24" s="66" t="s">
        <v>17</v>
      </c>
      <c r="D24" s="67">
        <f>GETPIVOTDATA("Sum of "&amp;T(Transactions!$J$19),Pivot!$A$3,"Customer",C24)</f>
        <v>1889351.8199999998</v>
      </c>
      <c r="E24" s="67">
        <f>GETPIVOTDATA("Sum of "&amp;T(Transactions!$K$19),Pivot!$A$3,"Customer",C24)</f>
        <v>2080252.2799999998</v>
      </c>
      <c r="F24" s="67">
        <f t="shared" si="2"/>
        <v>-190900.45999999996</v>
      </c>
      <c r="G24" s="53">
        <f>+GETPIVOTDATA("Sum of "&amp;T(Transactions!$M$19),Pivot!$A$3,"Customer","Coffeyville, KS")</f>
        <v>-9587.5578588784683</v>
      </c>
      <c r="H24" s="53">
        <f>GETPIVOTDATA("Sum of "&amp;T(Transactions!$Q$19),Pivot!$A$3,"Customer",C24)</f>
        <v>0</v>
      </c>
      <c r="I24" s="68">
        <f t="shared" si="0"/>
        <v>-200488.01785887842</v>
      </c>
      <c r="J24" s="69">
        <v>0</v>
      </c>
      <c r="K24" s="70">
        <f t="shared" si="1"/>
        <v>-200488.01785887842</v>
      </c>
      <c r="L24" s="65"/>
      <c r="N24" s="52"/>
      <c r="O24" s="53"/>
      <c r="P24" s="53"/>
      <c r="Q24" s="53"/>
      <c r="R24" s="53"/>
      <c r="S24" s="53"/>
    </row>
    <row r="25" spans="2:19" x14ac:dyDescent="0.25">
      <c r="B25" s="65"/>
      <c r="C25" s="71" t="s">
        <v>13</v>
      </c>
      <c r="D25" s="67">
        <f>GETPIVOTDATA("Sum of "&amp;T(Transactions!$J$19),Pivot!$A$3,"Customer",C25)</f>
        <v>16282945.620000001</v>
      </c>
      <c r="E25" s="67">
        <f>GETPIVOTDATA("Sum of "&amp;T(Transactions!$K$19),Pivot!$A$3,"Customer",C25)</f>
        <v>17928177.479999997</v>
      </c>
      <c r="F25" s="67">
        <f t="shared" si="2"/>
        <v>-1645231.8599999957</v>
      </c>
      <c r="G25" s="53">
        <f>+GETPIVOTDATA("Sum of "&amp;T(Transactions!$M$19),Pivot!$A$3,"Customer","ETEC")</f>
        <v>-82628.16993222665</v>
      </c>
      <c r="H25" s="53">
        <f>GETPIVOTDATA("Sum of "&amp;T(Transactions!$Q$19),Pivot!$A$3,"Customer",C25)</f>
        <v>0</v>
      </c>
      <c r="I25" s="68">
        <f t="shared" si="0"/>
        <v>-1727860.0299322223</v>
      </c>
      <c r="J25" s="69">
        <v>0</v>
      </c>
      <c r="K25" s="70">
        <f t="shared" si="1"/>
        <v>-1727860.0299322223</v>
      </c>
      <c r="L25" s="65"/>
      <c r="N25" s="54"/>
      <c r="O25" s="53"/>
      <c r="P25" s="53"/>
      <c r="Q25" s="53"/>
      <c r="R25" s="53"/>
      <c r="S25" s="53"/>
    </row>
    <row r="26" spans="2:19" x14ac:dyDescent="0.25">
      <c r="B26" s="65"/>
      <c r="C26" s="66" t="s">
        <v>15</v>
      </c>
      <c r="D26" s="67">
        <f>GETPIVOTDATA("Sum of "&amp;T(Transactions!$J$19),Pivot!$A$3,"Customer",C26)</f>
        <v>158730.21</v>
      </c>
      <c r="E26" s="67">
        <f>GETPIVOTDATA("Sum of "&amp;T(Transactions!$K$19),Pivot!$A$3,"Customer",C26)</f>
        <v>174768.33999999997</v>
      </c>
      <c r="F26" s="67">
        <f t="shared" si="2"/>
        <v>-16038.129999999976</v>
      </c>
      <c r="G26" s="53">
        <f>+GETPIVOTDATA("Sum of "&amp;T(Transactions!$M$19),Pivot!$A$3,"Customer","Greenbelt")</f>
        <v>-805.47998324998548</v>
      </c>
      <c r="H26" s="53">
        <f>GETPIVOTDATA("Sum of "&amp;T(Transactions!$Q$19),Pivot!$A$3,"Customer",C26)</f>
        <v>0</v>
      </c>
      <c r="I26" s="68">
        <f t="shared" si="0"/>
        <v>-16843.60998324996</v>
      </c>
      <c r="J26" s="69">
        <v>0</v>
      </c>
      <c r="K26" s="70">
        <f t="shared" si="1"/>
        <v>-16843.60998324996</v>
      </c>
      <c r="L26" s="65"/>
      <c r="M26" s="72"/>
      <c r="N26" s="72"/>
      <c r="O26" s="72"/>
      <c r="P26" s="72"/>
      <c r="Q26" s="53"/>
      <c r="R26" s="53"/>
      <c r="S26" s="53"/>
    </row>
    <row r="27" spans="2:19" x14ac:dyDescent="0.25">
      <c r="B27" s="65"/>
      <c r="C27" s="66" t="s">
        <v>57</v>
      </c>
      <c r="D27" s="67">
        <f>GETPIVOTDATA("Sum of "&amp;T(Transactions!$J$19),Pivot!$A$3,"Customer",C27)</f>
        <v>833718.86999999988</v>
      </c>
      <c r="E27" s="67">
        <f>GETPIVOTDATA("Sum of "&amp;T(Transactions!$K$19),Pivot!$A$3,"Customer",C27)</f>
        <v>917957.98</v>
      </c>
      <c r="F27" s="67">
        <f t="shared" si="2"/>
        <v>-84239.110000000102</v>
      </c>
      <c r="G27" s="53">
        <f>+GETPIVOTDATA("Sum of "&amp;T(Transactions!$M$19),Pivot!$A$3,"Customer","Hope, AR")</f>
        <v>-4230.724960565457</v>
      </c>
      <c r="H27" s="53">
        <f>GETPIVOTDATA("Sum of "&amp;T(Transactions!$Q$19),Pivot!$A$3,"Customer",C27)</f>
        <v>0</v>
      </c>
      <c r="I27" s="68">
        <f t="shared" si="0"/>
        <v>-88469.834960565553</v>
      </c>
      <c r="J27" s="69">
        <v>0</v>
      </c>
      <c r="K27" s="70">
        <f t="shared" si="1"/>
        <v>-88469.834960565553</v>
      </c>
      <c r="L27" s="65"/>
      <c r="M27" s="72"/>
      <c r="N27" s="72"/>
      <c r="O27" s="72"/>
      <c r="P27" s="72"/>
      <c r="Q27" s="53"/>
      <c r="R27" s="53"/>
      <c r="S27" s="53"/>
    </row>
    <row r="28" spans="2:19" x14ac:dyDescent="0.25">
      <c r="B28" s="65"/>
      <c r="C28" s="66" t="s">
        <v>16</v>
      </c>
      <c r="D28" s="67">
        <f>GETPIVOTDATA("Sum of "&amp;T(Transactions!$J$19),Pivot!$A$3,"Customer",C28)</f>
        <v>60101.729999999996</v>
      </c>
      <c r="E28" s="67">
        <f>GETPIVOTDATA("Sum of "&amp;T(Transactions!$K$19),Pivot!$A$3,"Customer",C28)</f>
        <v>66174.420000000013</v>
      </c>
      <c r="F28" s="67">
        <f t="shared" si="2"/>
        <v>-6072.6900000000169</v>
      </c>
      <c r="G28" s="53">
        <f>+GETPIVOTDATA("Sum of "&amp;T(Transactions!$M$19),Pivot!$A$3,"Customer","Lighthouse")</f>
        <v>-304.98756647329549</v>
      </c>
      <c r="H28" s="53">
        <f>GETPIVOTDATA("Sum of "&amp;T(Transactions!$Q$19),Pivot!$A$3,"Customer",C28)</f>
        <v>0</v>
      </c>
      <c r="I28" s="68">
        <f t="shared" si="0"/>
        <v>-6377.6775664733123</v>
      </c>
      <c r="J28" s="69">
        <v>0</v>
      </c>
      <c r="K28" s="70">
        <f t="shared" si="1"/>
        <v>-6377.6775664733123</v>
      </c>
      <c r="L28" s="65"/>
      <c r="N28" s="52"/>
      <c r="O28" s="53"/>
      <c r="P28" s="53"/>
      <c r="Q28" s="53"/>
      <c r="R28" s="53"/>
      <c r="S28" s="53"/>
    </row>
    <row r="29" spans="2:19" x14ac:dyDescent="0.25">
      <c r="B29" s="65"/>
      <c r="C29" s="71" t="s">
        <v>56</v>
      </c>
      <c r="D29" s="67">
        <f>GETPIVOTDATA("Sum of "&amp;T(Transactions!$J$19),Pivot!$A$3,"Customer",C29)</f>
        <v>500847.75</v>
      </c>
      <c r="E29" s="67">
        <f>GETPIVOTDATA("Sum of "&amp;T(Transactions!$K$19),Pivot!$A$3,"Customer",C29)</f>
        <v>551453.5</v>
      </c>
      <c r="F29" s="67">
        <f t="shared" si="2"/>
        <v>-50605.75</v>
      </c>
      <c r="G29" s="53">
        <f>+GETPIVOTDATA("Sum of "&amp;T(Transactions!$M$19),Pivot!$A$3,"Customer","Minden, LA")</f>
        <v>-2541.5630539441295</v>
      </c>
      <c r="H29" s="53">
        <f>GETPIVOTDATA("Sum of "&amp;T(Transactions!$Q$19),Pivot!$A$3,"Customer",C29)</f>
        <v>0</v>
      </c>
      <c r="I29" s="68">
        <f t="shared" si="0"/>
        <v>-53147.313053944126</v>
      </c>
      <c r="J29" s="69">
        <v>0</v>
      </c>
      <c r="K29" s="70">
        <f t="shared" si="1"/>
        <v>-53147.313053944126</v>
      </c>
      <c r="L29" s="65"/>
      <c r="N29" s="52"/>
      <c r="O29" s="53"/>
      <c r="P29" s="53"/>
      <c r="Q29" s="53"/>
      <c r="R29" s="53"/>
      <c r="S29" s="53"/>
    </row>
    <row r="30" spans="2:19" x14ac:dyDescent="0.25">
      <c r="B30" s="65"/>
      <c r="C30" s="71" t="s">
        <v>19</v>
      </c>
      <c r="D30" s="67">
        <f>GETPIVOTDATA("Sum of "&amp;T(Transactions!$J$19),Pivot!$A$3,"Customer",C30)</f>
        <v>767633.16518999997</v>
      </c>
      <c r="E30" s="67">
        <f>GETPIVOTDATA("Sum of "&amp;T(Transactions!$K$19),Pivot!$A$3,"Customer",C30)</f>
        <v>845194.96325999999</v>
      </c>
      <c r="F30" s="67">
        <f t="shared" si="2"/>
        <v>-77561.798070000019</v>
      </c>
      <c r="G30" s="53">
        <f>+GETPIVOTDATA("Sum of "&amp;T(Transactions!$M$19),Pivot!$A$3,"Customer","OG&amp;E")</f>
        <v>-3895.3715807430394</v>
      </c>
      <c r="H30" s="53">
        <f>GETPIVOTDATA("Sum of "&amp;T(Transactions!$Q$19),Pivot!$A$3,"Customer",C30)</f>
        <v>0</v>
      </c>
      <c r="I30" s="68">
        <f t="shared" si="0"/>
        <v>-81457.169650743061</v>
      </c>
      <c r="J30" s="69">
        <v>0</v>
      </c>
      <c r="K30" s="70">
        <f t="shared" si="1"/>
        <v>-81457.169650743061</v>
      </c>
      <c r="L30" s="65"/>
    </row>
    <row r="31" spans="2:19" x14ac:dyDescent="0.25">
      <c r="B31" s="65"/>
      <c r="C31" s="66" t="s">
        <v>8</v>
      </c>
      <c r="D31" s="67">
        <f>GETPIVOTDATA("Sum of "&amp;T(Transactions!$J$19),Pivot!$A$3,"Customer",C31)</f>
        <v>1977192.8099999998</v>
      </c>
      <c r="E31" s="67">
        <f>GETPIVOTDATA("Sum of "&amp;T(Transactions!$K$19),Pivot!$A$3,"Customer",C31)</f>
        <v>2176968.7399999998</v>
      </c>
      <c r="F31" s="67">
        <f t="shared" si="2"/>
        <v>-199775.92999999993</v>
      </c>
      <c r="G31" s="53">
        <f>+GETPIVOTDATA("Sum of "&amp;T(Transactions!$M$19),Pivot!$A$3,"Customer","OMPA")</f>
        <v>-10033.308917570206</v>
      </c>
      <c r="H31" s="53">
        <f>GETPIVOTDATA("Sum of "&amp;T(Transactions!$Q$19),Pivot!$A$3,"Customer",C31)</f>
        <v>0</v>
      </c>
      <c r="I31" s="68">
        <f t="shared" si="0"/>
        <v>-209809.23891757015</v>
      </c>
      <c r="J31" s="69">
        <v>0</v>
      </c>
      <c r="K31" s="70">
        <f t="shared" si="1"/>
        <v>-209809.23891757015</v>
      </c>
      <c r="L31" s="65"/>
    </row>
    <row r="32" spans="2:19" x14ac:dyDescent="0.25">
      <c r="B32" s="65"/>
      <c r="C32" s="66" t="s">
        <v>55</v>
      </c>
      <c r="D32" s="67">
        <f>GETPIVOTDATA("Sum of "&amp;T(Transactions!$J$19),Pivot!$A$3,"Customer",C32)</f>
        <v>217290.87000000002</v>
      </c>
      <c r="E32" s="67">
        <f>GETPIVOTDATA("Sum of "&amp;T(Transactions!$K$19),Pivot!$A$3,"Customer",C32)</f>
        <v>239245.97999999995</v>
      </c>
      <c r="F32" s="67">
        <f t="shared" si="2"/>
        <v>-21955.109999999928</v>
      </c>
      <c r="G32" s="53">
        <f>+GETPIVOTDATA("Sum of "&amp;T(Transactions!$M$19),Pivot!$A$3,"Customer","Prescott, AR")</f>
        <v>-1102.6473557111453</v>
      </c>
      <c r="H32" s="53">
        <f>GETPIVOTDATA("Sum of "&amp;T(Transactions!$Q$19),Pivot!$A$3,"Customer",C32)</f>
        <v>0</v>
      </c>
      <c r="I32" s="68">
        <f t="shared" si="0"/>
        <v>-23057.757355711074</v>
      </c>
      <c r="J32" s="69">
        <v>0</v>
      </c>
      <c r="K32" s="70">
        <f t="shared" si="1"/>
        <v>-23057.757355711074</v>
      </c>
      <c r="L32" s="65"/>
    </row>
    <row r="33" spans="2:13" x14ac:dyDescent="0.25">
      <c r="B33" s="65"/>
      <c r="C33" s="73" t="s">
        <v>9</v>
      </c>
      <c r="D33" s="67">
        <f>GETPIVOTDATA("Sum of "&amp;T(Transactions!$J$19),Pivot!$A$3,"Customer",C33)</f>
        <v>696563.6399999999</v>
      </c>
      <c r="E33" s="67">
        <f>GETPIVOTDATA("Sum of "&amp;T(Transactions!$K$19),Pivot!$A$3,"Customer",C33)</f>
        <v>766944.55999999994</v>
      </c>
      <c r="F33" s="67">
        <f t="shared" si="2"/>
        <v>-70380.920000000042</v>
      </c>
      <c r="G33" s="53">
        <f>+GETPIVOTDATA("Sum of "&amp;T(Transactions!$M$19),Pivot!$A$3,"Customer","WFEC")</f>
        <v>-3534.7276934853726</v>
      </c>
      <c r="H33" s="53">
        <f>GETPIVOTDATA("Sum of "&amp;T(Transactions!$Q$19),Pivot!$A$3,"Customer",C33)</f>
        <v>0</v>
      </c>
      <c r="I33" s="68">
        <f t="shared" si="0"/>
        <v>-73915.647693485414</v>
      </c>
      <c r="J33" s="69">
        <v>0</v>
      </c>
      <c r="K33" s="70">
        <f t="shared" si="1"/>
        <v>-73915.647693485414</v>
      </c>
      <c r="L33" s="65"/>
    </row>
    <row r="34" spans="2:13" ht="23" x14ac:dyDescent="0.25">
      <c r="C34" s="74" t="s">
        <v>43</v>
      </c>
      <c r="D34" s="75">
        <f t="shared" ref="D34:J34" si="3">SUM(D21:D33)</f>
        <v>40605833.735189989</v>
      </c>
      <c r="E34" s="75">
        <f t="shared" si="3"/>
        <v>44708654.743259996</v>
      </c>
      <c r="F34" s="75">
        <f t="shared" si="3"/>
        <v>-4102821.0080699935</v>
      </c>
      <c r="G34" s="76">
        <f t="shared" si="3"/>
        <v>-206055.2069884651</v>
      </c>
      <c r="H34" s="76">
        <f t="shared" si="3"/>
        <v>0</v>
      </c>
      <c r="I34" s="77">
        <f t="shared" si="3"/>
        <v>-4308876.215058459</v>
      </c>
      <c r="J34" s="78">
        <f t="shared" si="3"/>
        <v>0</v>
      </c>
      <c r="K34" s="79">
        <f t="shared" si="1"/>
        <v>-4308876.215058459</v>
      </c>
    </row>
    <row r="35" spans="2:13" x14ac:dyDescent="0.25">
      <c r="C35" s="80" t="s">
        <v>21</v>
      </c>
      <c r="D35" s="67">
        <f>GETPIVOTDATA("Sum of "&amp;T(Transactions!$J$19),Pivot!$A$3,"Customer",C35)</f>
        <v>58351074.479999997</v>
      </c>
      <c r="E35" s="67">
        <f>GETPIVOTDATA("Sum of "&amp;T(Transactions!$K$19),Pivot!$A$3,"Customer",C35)</f>
        <v>64246877.920000002</v>
      </c>
      <c r="F35" s="67">
        <f t="shared" si="2"/>
        <v>-5895803.4400000051</v>
      </c>
      <c r="G35" s="53">
        <f>+GETPIVOTDATA("Sum of "&amp;T(Transactions!$M$19),Pivot!$A$3,"Customer","PSO")</f>
        <v>-296103.82607550919</v>
      </c>
      <c r="H35" s="53">
        <f>GETPIVOTDATA("Sum of "&amp;T(Transactions!$Q$19),Pivot!$A$3,"Customer",C35)</f>
        <v>0</v>
      </c>
      <c r="I35" s="68">
        <f>F35+G35-H35</f>
        <v>-6191907.2660755143</v>
      </c>
      <c r="J35" s="69">
        <v>0</v>
      </c>
      <c r="K35" s="70">
        <f t="shared" si="1"/>
        <v>-6191907.2660755143</v>
      </c>
    </row>
    <row r="36" spans="2:13" x14ac:dyDescent="0.25">
      <c r="C36" s="81" t="s">
        <v>22</v>
      </c>
      <c r="D36" s="67">
        <f>GETPIVOTDATA("Sum of "&amp;T(Transactions!$J$19),Pivot!$A$3,"Customer",C36)</f>
        <v>57620607.299999997</v>
      </c>
      <c r="E36" s="67">
        <f>GETPIVOTDATA("Sum of "&amp;T(Transactions!$K$19),Pivot!$A$3,"Customer",C36)</f>
        <v>63442604.200000003</v>
      </c>
      <c r="F36" s="67">
        <f>D36-E36</f>
        <v>-5821996.900000006</v>
      </c>
      <c r="G36" s="53">
        <f>+GETPIVOTDATA("Sum of "&amp;T(Transactions!$M$19),Pivot!$A$3,"Customer","SWEPCO")</f>
        <v>-292397.05411375687</v>
      </c>
      <c r="H36" s="53">
        <f>GETPIVOTDATA("Sum of "&amp;T(Transactions!$Q$19),Pivot!$A$3,"Customer",C36)</f>
        <v>0</v>
      </c>
      <c r="I36" s="68">
        <f>F36+G36-H36</f>
        <v>-6114393.9541137628</v>
      </c>
      <c r="J36" s="69">
        <v>0</v>
      </c>
      <c r="K36" s="70">
        <f t="shared" si="1"/>
        <v>-6114393.9541137628</v>
      </c>
    </row>
    <row r="37" spans="2:13" x14ac:dyDescent="0.25">
      <c r="C37" s="82" t="s">
        <v>81</v>
      </c>
      <c r="D37" s="67">
        <f>GETPIVOTDATA("Sum of "&amp;T(Transactions!$J$19),Pivot!$A$3,"Customer",C37)</f>
        <v>2488828.0500000003</v>
      </c>
      <c r="E37" s="67">
        <f>GETPIVOTDATA("Sum of "&amp;T(Transactions!$K$19),Pivot!$A$3,"Customer",C37)</f>
        <v>2740299.7</v>
      </c>
      <c r="F37" s="67">
        <f>D37-E37</f>
        <v>-251471.64999999991</v>
      </c>
      <c r="G37" s="53">
        <f>+GETPIVOTDATA("Sum of "&amp;T(Transactions!$M$19),Pivot!$A$3,"Customer","SWEPCO-Valley")</f>
        <v>-12629.613329599286</v>
      </c>
      <c r="H37" s="53">
        <f>GETPIVOTDATA("Sum of "&amp;T(Transactions!$Q$19),Pivot!$A$3,"Customer",C37)</f>
        <v>0</v>
      </c>
      <c r="I37" s="68">
        <f>F37+G37-H37</f>
        <v>-264101.26332959917</v>
      </c>
      <c r="J37" s="69">
        <v>0</v>
      </c>
      <c r="K37" s="70">
        <f t="shared" si="1"/>
        <v>-264101.26332959917</v>
      </c>
    </row>
    <row r="38" spans="2:13" ht="23" x14ac:dyDescent="0.25">
      <c r="C38" s="83" t="s">
        <v>51</v>
      </c>
      <c r="D38" s="84">
        <f t="shared" ref="D38:I38" si="4">SUM(D35:D37)</f>
        <v>118460509.83</v>
      </c>
      <c r="E38" s="84">
        <f t="shared" si="4"/>
        <v>130429781.82000001</v>
      </c>
      <c r="F38" s="84">
        <f t="shared" si="4"/>
        <v>-11969271.990000011</v>
      </c>
      <c r="G38" s="85">
        <f t="shared" si="4"/>
        <v>-601130.49351886532</v>
      </c>
      <c r="H38" s="85">
        <f t="shared" si="4"/>
        <v>0</v>
      </c>
      <c r="I38" s="86">
        <f t="shared" si="4"/>
        <v>-12570402.483518876</v>
      </c>
      <c r="J38" s="87">
        <f>SUM(J35:J37)</f>
        <v>0</v>
      </c>
      <c r="K38" s="88">
        <f t="shared" si="1"/>
        <v>-12570402.483518876</v>
      </c>
      <c r="M38" s="89"/>
    </row>
    <row r="39" spans="2:13" ht="23.25" customHeight="1" thickBot="1" x14ac:dyDescent="0.3">
      <c r="C39" s="90" t="s">
        <v>44</v>
      </c>
      <c r="D39" s="91">
        <f t="shared" ref="D39:I39" si="5">SUM(D34,D38)</f>
        <v>159066343.56518999</v>
      </c>
      <c r="E39" s="92">
        <f t="shared" si="5"/>
        <v>175138436.56326002</v>
      </c>
      <c r="F39" s="91">
        <f t="shared" si="5"/>
        <v>-16072092.998070005</v>
      </c>
      <c r="G39" s="92">
        <f t="shared" si="5"/>
        <v>-807185.70050733048</v>
      </c>
      <c r="H39" s="92">
        <f t="shared" si="5"/>
        <v>0</v>
      </c>
      <c r="I39" s="93">
        <f t="shared" si="5"/>
        <v>-16879278.698577337</v>
      </c>
      <c r="J39" s="94">
        <f>SUM(J34,J38)</f>
        <v>0</v>
      </c>
      <c r="K39" s="95">
        <f t="shared" si="1"/>
        <v>-16879278.698577337</v>
      </c>
      <c r="M39" s="89"/>
    </row>
    <row r="40" spans="2:13" x14ac:dyDescent="0.25">
      <c r="E40" s="52"/>
      <c r="F40" s="52"/>
      <c r="G40" s="52"/>
      <c r="H40" s="52"/>
    </row>
    <row r="41" spans="2:13" x14ac:dyDescent="0.25">
      <c r="C41" s="3"/>
      <c r="F41" s="96"/>
      <c r="G41" s="96"/>
      <c r="H41" s="96"/>
      <c r="I41" s="96"/>
    </row>
    <row r="42" spans="2:13" x14ac:dyDescent="0.25">
      <c r="C42" s="3"/>
    </row>
    <row r="43" spans="2:13" x14ac:dyDescent="0.25">
      <c r="C43" s="3"/>
    </row>
  </sheetData>
  <mergeCells count="4">
    <mergeCell ref="C1:I1"/>
    <mergeCell ref="C2:I2"/>
    <mergeCell ref="C3:I3"/>
    <mergeCell ref="C4:I4"/>
  </mergeCells>
  <phoneticPr fontId="6" type="noConversion"/>
  <printOptions horizontalCentered="1"/>
  <pageMargins left="0.5" right="0.75" top="0.9" bottom="0.53" header="0.5" footer="0.5"/>
  <pageSetup scale="9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123"/>
  <sheetViews>
    <sheetView zoomScale="85" workbookViewId="0">
      <pane xSplit="2" ySplit="4" topLeftCell="C8" activePane="bottomRight" state="frozen"/>
      <selection pane="topRight" activeCell="C1" sqref="C1"/>
      <selection pane="bottomLeft" activeCell="A5" sqref="A5"/>
      <selection pane="bottomRight" activeCell="E22" sqref="E22"/>
    </sheetView>
  </sheetViews>
  <sheetFormatPr defaultColWidth="8.7265625" defaultRowHeight="12.5" x14ac:dyDescent="0.25"/>
  <cols>
    <col min="1" max="1" width="19.1796875" style="1" customWidth="1"/>
    <col min="2" max="2" width="27.81640625" style="1" bestFit="1" customWidth="1"/>
    <col min="3" max="14" width="14.7265625" style="1" bestFit="1" customWidth="1"/>
    <col min="15" max="15" width="12.1796875" style="1" bestFit="1" customWidth="1"/>
    <col min="16" max="16384" width="8.7265625" style="1"/>
  </cols>
  <sheetData>
    <row r="3" spans="1:15" x14ac:dyDescent="0.25">
      <c r="A3" s="97"/>
      <c r="B3" s="98"/>
      <c r="C3" s="99" t="s">
        <v>53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100"/>
    </row>
    <row r="4" spans="1:15" x14ac:dyDescent="0.25">
      <c r="A4" s="99" t="s">
        <v>0</v>
      </c>
      <c r="B4" s="99" t="s">
        <v>24</v>
      </c>
      <c r="C4" s="101">
        <v>43466</v>
      </c>
      <c r="D4" s="102">
        <v>43497</v>
      </c>
      <c r="E4" s="102">
        <v>43525</v>
      </c>
      <c r="F4" s="102">
        <v>43556</v>
      </c>
      <c r="G4" s="102">
        <v>43586</v>
      </c>
      <c r="H4" s="102">
        <v>43617</v>
      </c>
      <c r="I4" s="102">
        <v>43647</v>
      </c>
      <c r="J4" s="102">
        <v>43678</v>
      </c>
      <c r="K4" s="102">
        <v>43709</v>
      </c>
      <c r="L4" s="102">
        <v>43739</v>
      </c>
      <c r="M4" s="102">
        <v>43770</v>
      </c>
      <c r="N4" s="102">
        <v>43800</v>
      </c>
      <c r="O4" s="103" t="s">
        <v>18</v>
      </c>
    </row>
    <row r="5" spans="1:15" x14ac:dyDescent="0.25">
      <c r="A5" s="97" t="s">
        <v>14</v>
      </c>
      <c r="B5" s="97" t="s">
        <v>70</v>
      </c>
      <c r="C5" s="104">
        <v>1178918.55</v>
      </c>
      <c r="D5" s="105">
        <v>1268300.6099999999</v>
      </c>
      <c r="E5" s="105">
        <v>1248266.7</v>
      </c>
      <c r="F5" s="105">
        <v>752042.15999999992</v>
      </c>
      <c r="G5" s="105">
        <v>1074125.79</v>
      </c>
      <c r="H5" s="105">
        <v>1240561.3499999999</v>
      </c>
      <c r="I5" s="105">
        <v>1294498.8</v>
      </c>
      <c r="J5" s="105">
        <v>1371552.3</v>
      </c>
      <c r="K5" s="105">
        <v>1260595.26</v>
      </c>
      <c r="L5" s="105">
        <v>1169672.1299999999</v>
      </c>
      <c r="M5" s="105">
        <v>1140391.8</v>
      </c>
      <c r="N5" s="105">
        <v>1158884.6399999999</v>
      </c>
      <c r="O5" s="106">
        <v>14157810.09</v>
      </c>
    </row>
    <row r="6" spans="1:15" ht="13" x14ac:dyDescent="0.3">
      <c r="A6" s="239"/>
      <c r="B6" s="107" t="s">
        <v>25</v>
      </c>
      <c r="C6" s="240">
        <v>-119118.14999999991</v>
      </c>
      <c r="D6" s="241">
        <v>-128149.33000000007</v>
      </c>
      <c r="E6" s="241">
        <v>-126125.10000000009</v>
      </c>
      <c r="F6" s="241">
        <v>-75986.480000000098</v>
      </c>
      <c r="G6" s="241">
        <v>-108529.86999999988</v>
      </c>
      <c r="H6" s="241">
        <v>-125346.55000000005</v>
      </c>
      <c r="I6" s="241">
        <v>-130796.39999999991</v>
      </c>
      <c r="J6" s="241">
        <v>-138581.89999999991</v>
      </c>
      <c r="K6" s="241">
        <v>-127370.78000000003</v>
      </c>
      <c r="L6" s="241">
        <v>-118183.89000000013</v>
      </c>
      <c r="M6" s="241">
        <v>-115225.39999999991</v>
      </c>
      <c r="N6" s="241">
        <v>-117093.92000000016</v>
      </c>
      <c r="O6" s="242">
        <v>-1430507.7700000003</v>
      </c>
    </row>
    <row r="7" spans="1:15" ht="13" x14ac:dyDescent="0.3">
      <c r="A7" s="239"/>
      <c r="B7" s="107" t="s">
        <v>26</v>
      </c>
      <c r="C7" s="240">
        <v>-5982.4484192838727</v>
      </c>
      <c r="D7" s="241">
        <v>-6436.0196719877476</v>
      </c>
      <c r="E7" s="241">
        <v>-6334.3571498299825</v>
      </c>
      <c r="F7" s="241">
        <v>-3816.2546779222616</v>
      </c>
      <c r="G7" s="241">
        <v>-5450.6752264586394</v>
      </c>
      <c r="H7" s="241">
        <v>-6295.2561797693033</v>
      </c>
      <c r="I7" s="241">
        <v>-6568.9629701940557</v>
      </c>
      <c r="J7" s="241">
        <v>-6959.9726708008448</v>
      </c>
      <c r="K7" s="241">
        <v>-6396.9187019270694</v>
      </c>
      <c r="L7" s="241">
        <v>-5935.5272552110582</v>
      </c>
      <c r="M7" s="241">
        <v>-5786.9435689804777</v>
      </c>
      <c r="N7" s="241">
        <v>-5880.7858971261076</v>
      </c>
      <c r="O7" s="242">
        <v>-71844.122389491415</v>
      </c>
    </row>
    <row r="8" spans="1:15" ht="13" x14ac:dyDescent="0.3">
      <c r="A8" s="239"/>
      <c r="B8" s="107" t="s">
        <v>27</v>
      </c>
      <c r="C8" s="240">
        <v>-125100.59841928378</v>
      </c>
      <c r="D8" s="241">
        <v>-134585.34967198782</v>
      </c>
      <c r="E8" s="241">
        <v>-132459.45714983006</v>
      </c>
      <c r="F8" s="241">
        <v>-79802.734677922359</v>
      </c>
      <c r="G8" s="241">
        <v>-113980.54522645852</v>
      </c>
      <c r="H8" s="241">
        <v>-131641.80617976934</v>
      </c>
      <c r="I8" s="241">
        <v>-137365.36297019396</v>
      </c>
      <c r="J8" s="241">
        <v>-145541.87267080075</v>
      </c>
      <c r="K8" s="241">
        <v>-133767.69870192709</v>
      </c>
      <c r="L8" s="241">
        <v>-124119.41725521118</v>
      </c>
      <c r="M8" s="241">
        <v>-121012.34356898039</v>
      </c>
      <c r="N8" s="241">
        <v>-122974.70589712626</v>
      </c>
      <c r="O8" s="242">
        <v>-1502351.8923894914</v>
      </c>
    </row>
    <row r="9" spans="1:15" x14ac:dyDescent="0.25">
      <c r="A9" s="239"/>
      <c r="B9" s="107" t="s">
        <v>49</v>
      </c>
      <c r="C9" s="108">
        <v>1298036.7</v>
      </c>
      <c r="D9" s="96">
        <v>1396449.94</v>
      </c>
      <c r="E9" s="96">
        <v>1374391.8</v>
      </c>
      <c r="F9" s="96">
        <v>828028.64</v>
      </c>
      <c r="G9" s="96">
        <v>1182655.6599999999</v>
      </c>
      <c r="H9" s="96">
        <v>1365907.9</v>
      </c>
      <c r="I9" s="96">
        <v>1425295.2</v>
      </c>
      <c r="J9" s="96">
        <v>1510134.2</v>
      </c>
      <c r="K9" s="96">
        <v>1387966.04</v>
      </c>
      <c r="L9" s="96">
        <v>1287856.02</v>
      </c>
      <c r="M9" s="96">
        <v>1255617.2</v>
      </c>
      <c r="N9" s="96">
        <v>1275978.56</v>
      </c>
      <c r="O9" s="109">
        <v>15588317.859999998</v>
      </c>
    </row>
    <row r="10" spans="1:15" x14ac:dyDescent="0.25">
      <c r="A10" s="239"/>
      <c r="B10" s="107" t="s">
        <v>87</v>
      </c>
      <c r="C10" s="108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109">
        <v>0</v>
      </c>
    </row>
    <row r="11" spans="1:15" x14ac:dyDescent="0.25">
      <c r="A11" s="239"/>
      <c r="B11" s="107" t="s">
        <v>89</v>
      </c>
      <c r="C11" s="108">
        <v>0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109">
        <v>0</v>
      </c>
    </row>
    <row r="12" spans="1:15" x14ac:dyDescent="0.25">
      <c r="A12" s="97" t="s">
        <v>17</v>
      </c>
      <c r="B12" s="97" t="s">
        <v>70</v>
      </c>
      <c r="C12" s="104">
        <v>160271.28</v>
      </c>
      <c r="D12" s="105">
        <v>158730.21</v>
      </c>
      <c r="E12" s="105">
        <v>161812.35</v>
      </c>
      <c r="F12" s="105">
        <v>160271.28</v>
      </c>
      <c r="G12" s="105">
        <v>163353.41999999998</v>
      </c>
      <c r="H12" s="105">
        <v>154107</v>
      </c>
      <c r="I12" s="105">
        <v>180305.19</v>
      </c>
      <c r="J12" s="105">
        <v>178764.12</v>
      </c>
      <c r="K12" s="105">
        <v>174140.91</v>
      </c>
      <c r="L12" s="105">
        <v>174140.91</v>
      </c>
      <c r="M12" s="105">
        <v>160271.28</v>
      </c>
      <c r="N12" s="105">
        <v>63183.869999999995</v>
      </c>
      <c r="O12" s="106">
        <v>1889351.8199999998</v>
      </c>
    </row>
    <row r="13" spans="1:15" ht="13" x14ac:dyDescent="0.3">
      <c r="A13" s="239"/>
      <c r="B13" s="107" t="s">
        <v>25</v>
      </c>
      <c r="C13" s="240">
        <v>-16193.839999999997</v>
      </c>
      <c r="D13" s="241">
        <v>-16038.130000000005</v>
      </c>
      <c r="E13" s="241">
        <v>-16349.549999999988</v>
      </c>
      <c r="F13" s="241">
        <v>-16193.839999999997</v>
      </c>
      <c r="G13" s="241">
        <v>-16505.260000000009</v>
      </c>
      <c r="H13" s="241">
        <v>-15571</v>
      </c>
      <c r="I13" s="241">
        <v>-18218.070000000007</v>
      </c>
      <c r="J13" s="241">
        <v>-18062.360000000015</v>
      </c>
      <c r="K13" s="241">
        <v>-17595.229999999981</v>
      </c>
      <c r="L13" s="241">
        <v>-17595.229999999981</v>
      </c>
      <c r="M13" s="241">
        <v>-16193.839999999997</v>
      </c>
      <c r="N13" s="241">
        <v>-6384.1100000000006</v>
      </c>
      <c r="O13" s="242">
        <v>-190900.45999999996</v>
      </c>
    </row>
    <row r="14" spans="1:15" ht="13" x14ac:dyDescent="0.3">
      <c r="A14" s="239"/>
      <c r="B14" s="107" t="s">
        <v>26</v>
      </c>
      <c r="C14" s="240">
        <v>-813.30017726212122</v>
      </c>
      <c r="D14" s="241">
        <v>-805.47998324998548</v>
      </c>
      <c r="E14" s="241">
        <v>-821.12037127425697</v>
      </c>
      <c r="F14" s="241">
        <v>-813.30017726212122</v>
      </c>
      <c r="G14" s="241">
        <v>-828.94056528639283</v>
      </c>
      <c r="H14" s="241">
        <v>-782.01940121357813</v>
      </c>
      <c r="I14" s="241">
        <v>-914.96269941988635</v>
      </c>
      <c r="J14" s="241">
        <v>-907.14250540775072</v>
      </c>
      <c r="K14" s="241">
        <v>-883.68192337134326</v>
      </c>
      <c r="L14" s="241">
        <v>-883.68192337134326</v>
      </c>
      <c r="M14" s="241">
        <v>-813.30017726212122</v>
      </c>
      <c r="N14" s="241">
        <v>-320.62795449756703</v>
      </c>
      <c r="O14" s="242">
        <v>-9587.5578588784683</v>
      </c>
    </row>
    <row r="15" spans="1:15" ht="13" x14ac:dyDescent="0.3">
      <c r="A15" s="239"/>
      <c r="B15" s="107" t="s">
        <v>27</v>
      </c>
      <c r="C15" s="240">
        <v>-17007.140177262118</v>
      </c>
      <c r="D15" s="241">
        <v>-16843.609983249989</v>
      </c>
      <c r="E15" s="241">
        <v>-17170.670371274246</v>
      </c>
      <c r="F15" s="241">
        <v>-17007.140177262118</v>
      </c>
      <c r="G15" s="241">
        <v>-17334.200565286403</v>
      </c>
      <c r="H15" s="241">
        <v>-16353.019401213578</v>
      </c>
      <c r="I15" s="241">
        <v>-19133.032699419895</v>
      </c>
      <c r="J15" s="241">
        <v>-18969.502505407767</v>
      </c>
      <c r="K15" s="241">
        <v>-18478.911923371325</v>
      </c>
      <c r="L15" s="241">
        <v>-18478.911923371325</v>
      </c>
      <c r="M15" s="241">
        <v>-17007.140177262118</v>
      </c>
      <c r="N15" s="241">
        <v>-6704.7379544975674</v>
      </c>
      <c r="O15" s="242">
        <v>-200488.01785887842</v>
      </c>
    </row>
    <row r="16" spans="1:15" x14ac:dyDescent="0.25">
      <c r="A16" s="239"/>
      <c r="B16" s="107" t="s">
        <v>49</v>
      </c>
      <c r="C16" s="108">
        <v>176465.12</v>
      </c>
      <c r="D16" s="96">
        <v>174768.34</v>
      </c>
      <c r="E16" s="96">
        <v>178161.9</v>
      </c>
      <c r="F16" s="96">
        <v>176465.12</v>
      </c>
      <c r="G16" s="96">
        <v>179858.68</v>
      </c>
      <c r="H16" s="96">
        <v>169678</v>
      </c>
      <c r="I16" s="96">
        <v>198523.26</v>
      </c>
      <c r="J16" s="96">
        <v>196826.48</v>
      </c>
      <c r="K16" s="96">
        <v>191736.13999999998</v>
      </c>
      <c r="L16" s="96">
        <v>191736.13999999998</v>
      </c>
      <c r="M16" s="96">
        <v>176465.12</v>
      </c>
      <c r="N16" s="96">
        <v>69567.98</v>
      </c>
      <c r="O16" s="109">
        <v>2080252.2799999998</v>
      </c>
    </row>
    <row r="17" spans="1:15" x14ac:dyDescent="0.25">
      <c r="A17" s="239"/>
      <c r="B17" s="107" t="s">
        <v>87</v>
      </c>
      <c r="C17" s="108">
        <v>0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109">
        <v>0</v>
      </c>
    </row>
    <row r="18" spans="1:15" x14ac:dyDescent="0.25">
      <c r="A18" s="239"/>
      <c r="B18" s="107" t="s">
        <v>89</v>
      </c>
      <c r="C18" s="108">
        <v>0</v>
      </c>
      <c r="D18" s="96">
        <v>0</v>
      </c>
      <c r="E18" s="96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109">
        <v>0</v>
      </c>
    </row>
    <row r="19" spans="1:15" x14ac:dyDescent="0.25">
      <c r="A19" s="97" t="s">
        <v>13</v>
      </c>
      <c r="B19" s="97" t="s">
        <v>70</v>
      </c>
      <c r="C19" s="104">
        <v>1522577.16</v>
      </c>
      <c r="D19" s="105">
        <v>1465557.5699999998</v>
      </c>
      <c r="E19" s="105">
        <v>1625828.8499999999</v>
      </c>
      <c r="F19" s="105">
        <v>792109.98</v>
      </c>
      <c r="G19" s="105">
        <v>1080290.07</v>
      </c>
      <c r="H19" s="105">
        <v>1266759.54</v>
      </c>
      <c r="I19" s="105">
        <v>1337648.76</v>
      </c>
      <c r="J19" s="105">
        <v>1437818.31</v>
      </c>
      <c r="K19" s="105">
        <v>1371552.3</v>
      </c>
      <c r="L19" s="105">
        <v>1229773.8599999999</v>
      </c>
      <c r="M19" s="105">
        <v>1618123.5</v>
      </c>
      <c r="N19" s="105">
        <v>1534905.72</v>
      </c>
      <c r="O19" s="106">
        <v>16282945.620000001</v>
      </c>
    </row>
    <row r="20" spans="1:15" ht="13" x14ac:dyDescent="0.3">
      <c r="A20" s="239"/>
      <c r="B20" s="107" t="s">
        <v>25</v>
      </c>
      <c r="C20" s="240">
        <v>-153841.47999999998</v>
      </c>
      <c r="D20" s="241">
        <v>-148080.2100000002</v>
      </c>
      <c r="E20" s="241">
        <v>-164274.05000000005</v>
      </c>
      <c r="F20" s="241">
        <v>-80034.940000000061</v>
      </c>
      <c r="G20" s="241">
        <v>-109152.70999999996</v>
      </c>
      <c r="H20" s="241">
        <v>-127993.61999999988</v>
      </c>
      <c r="I20" s="241">
        <v>-135156.28000000003</v>
      </c>
      <c r="J20" s="241">
        <v>-145277.42999999993</v>
      </c>
      <c r="K20" s="241">
        <v>-138581.89999999991</v>
      </c>
      <c r="L20" s="241">
        <v>-124256.58000000007</v>
      </c>
      <c r="M20" s="241">
        <v>-163495.5</v>
      </c>
      <c r="N20" s="241">
        <v>-155087.15999999992</v>
      </c>
      <c r="O20" s="242">
        <v>-1645231.86</v>
      </c>
    </row>
    <row r="21" spans="1:15" ht="13" x14ac:dyDescent="0.3">
      <c r="A21" s="239"/>
      <c r="B21" s="107" t="s">
        <v>26</v>
      </c>
      <c r="C21" s="240">
        <v>-7726.3516839901522</v>
      </c>
      <c r="D21" s="241">
        <v>-7437.0045055411274</v>
      </c>
      <c r="E21" s="241">
        <v>-8250.3046828032493</v>
      </c>
      <c r="F21" s="241">
        <v>-4019.5797222377919</v>
      </c>
      <c r="G21" s="241">
        <v>-5481.9560025071833</v>
      </c>
      <c r="H21" s="241">
        <v>-6428.1994779756124</v>
      </c>
      <c r="I21" s="241">
        <v>-6787.9284025338584</v>
      </c>
      <c r="J21" s="241">
        <v>-7296.2410133226831</v>
      </c>
      <c r="K21" s="241">
        <v>-6959.9726708008448</v>
      </c>
      <c r="L21" s="241">
        <v>-6240.5148216843536</v>
      </c>
      <c r="M21" s="241">
        <v>-8211.2037127425701</v>
      </c>
      <c r="N21" s="241">
        <v>-7788.9132360872372</v>
      </c>
      <c r="O21" s="242">
        <v>-82628.16993222665</v>
      </c>
    </row>
    <row r="22" spans="1:15" ht="13" x14ac:dyDescent="0.3">
      <c r="A22" s="239"/>
      <c r="B22" s="107" t="s">
        <v>27</v>
      </c>
      <c r="C22" s="240">
        <v>-161567.83168399014</v>
      </c>
      <c r="D22" s="241">
        <v>-155517.21450554131</v>
      </c>
      <c r="E22" s="241">
        <v>-172524.3546828033</v>
      </c>
      <c r="F22" s="241">
        <v>-84054.519722237848</v>
      </c>
      <c r="G22" s="241">
        <v>-114634.66600250715</v>
      </c>
      <c r="H22" s="241">
        <v>-134421.81947797548</v>
      </c>
      <c r="I22" s="241">
        <v>-141944.2084025339</v>
      </c>
      <c r="J22" s="241">
        <v>-152573.67101332263</v>
      </c>
      <c r="K22" s="241">
        <v>-145541.87267080075</v>
      </c>
      <c r="L22" s="241">
        <v>-130497.09482168443</v>
      </c>
      <c r="M22" s="241">
        <v>-171706.70371274257</v>
      </c>
      <c r="N22" s="241">
        <v>-162876.07323608716</v>
      </c>
      <c r="O22" s="242">
        <v>-1727860.0299322265</v>
      </c>
    </row>
    <row r="23" spans="1:15" x14ac:dyDescent="0.25">
      <c r="A23" s="239"/>
      <c r="B23" s="107" t="s">
        <v>49</v>
      </c>
      <c r="C23" s="108">
        <v>1676418.64</v>
      </c>
      <c r="D23" s="96">
        <v>1613637.78</v>
      </c>
      <c r="E23" s="96">
        <v>1790102.9</v>
      </c>
      <c r="F23" s="96">
        <v>872144.92</v>
      </c>
      <c r="G23" s="96">
        <v>1189442.78</v>
      </c>
      <c r="H23" s="96">
        <v>1394753.16</v>
      </c>
      <c r="I23" s="96">
        <v>1472805.04</v>
      </c>
      <c r="J23" s="96">
        <v>1583095.74</v>
      </c>
      <c r="K23" s="96">
        <v>1510134.2</v>
      </c>
      <c r="L23" s="96">
        <v>1354030.44</v>
      </c>
      <c r="M23" s="96">
        <v>1781619</v>
      </c>
      <c r="N23" s="96">
        <v>1689992.88</v>
      </c>
      <c r="O23" s="109">
        <v>17928177.479999997</v>
      </c>
    </row>
    <row r="24" spans="1:15" x14ac:dyDescent="0.25">
      <c r="A24" s="239"/>
      <c r="B24" s="107" t="s">
        <v>87</v>
      </c>
      <c r="C24" s="108">
        <v>0</v>
      </c>
      <c r="D24" s="96">
        <v>0</v>
      </c>
      <c r="E24" s="96">
        <v>0</v>
      </c>
      <c r="F24" s="96">
        <v>0</v>
      </c>
      <c r="G24" s="96">
        <v>0</v>
      </c>
      <c r="H24" s="96">
        <v>0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109">
        <v>0</v>
      </c>
    </row>
    <row r="25" spans="1:15" x14ac:dyDescent="0.25">
      <c r="A25" s="239"/>
      <c r="B25" s="107" t="s">
        <v>89</v>
      </c>
      <c r="C25" s="108">
        <v>0</v>
      </c>
      <c r="D25" s="96">
        <v>0</v>
      </c>
      <c r="E25" s="96">
        <v>0</v>
      </c>
      <c r="F25" s="96">
        <v>0</v>
      </c>
      <c r="G25" s="96">
        <v>0</v>
      </c>
      <c r="H25" s="96">
        <v>0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109">
        <v>0</v>
      </c>
    </row>
    <row r="26" spans="1:15" x14ac:dyDescent="0.25">
      <c r="A26" s="97" t="s">
        <v>15</v>
      </c>
      <c r="B26" s="97" t="s">
        <v>70</v>
      </c>
      <c r="C26" s="104">
        <v>10787.49</v>
      </c>
      <c r="D26" s="105">
        <v>12328.56</v>
      </c>
      <c r="E26" s="105">
        <v>9246.42</v>
      </c>
      <c r="F26" s="105">
        <v>7705.3499999999995</v>
      </c>
      <c r="G26" s="105">
        <v>6164.28</v>
      </c>
      <c r="H26" s="105">
        <v>10787.49</v>
      </c>
      <c r="I26" s="105">
        <v>26198.19</v>
      </c>
      <c r="J26" s="105">
        <v>26198.19</v>
      </c>
      <c r="K26" s="105">
        <v>20033.91</v>
      </c>
      <c r="L26" s="105">
        <v>7705.3499999999995</v>
      </c>
      <c r="M26" s="105">
        <v>10787.49</v>
      </c>
      <c r="N26" s="105">
        <v>10787.49</v>
      </c>
      <c r="O26" s="106">
        <v>158730.21</v>
      </c>
    </row>
    <row r="27" spans="1:15" ht="13" x14ac:dyDescent="0.3">
      <c r="A27" s="239"/>
      <c r="B27" s="107" t="s">
        <v>25</v>
      </c>
      <c r="C27" s="240">
        <v>-1089.9699999999993</v>
      </c>
      <c r="D27" s="241">
        <v>-1245.6800000000003</v>
      </c>
      <c r="E27" s="241">
        <v>-934.26000000000022</v>
      </c>
      <c r="F27" s="241">
        <v>-778.55000000000018</v>
      </c>
      <c r="G27" s="241">
        <v>-622.84000000000015</v>
      </c>
      <c r="H27" s="241">
        <v>-1089.9699999999993</v>
      </c>
      <c r="I27" s="241">
        <v>-2647.0699999999997</v>
      </c>
      <c r="J27" s="241">
        <v>-2647.0699999999997</v>
      </c>
      <c r="K27" s="241">
        <v>-2024.2299999999996</v>
      </c>
      <c r="L27" s="241">
        <v>-778.55000000000018</v>
      </c>
      <c r="M27" s="241">
        <v>-1089.9699999999993</v>
      </c>
      <c r="N27" s="241">
        <v>-1089.9699999999993</v>
      </c>
      <c r="O27" s="242">
        <v>-16038.129999999997</v>
      </c>
    </row>
    <row r="28" spans="1:15" ht="13" x14ac:dyDescent="0.3">
      <c r="A28" s="239"/>
      <c r="B28" s="107" t="s">
        <v>26</v>
      </c>
      <c r="C28" s="240">
        <v>-54.741358084950477</v>
      </c>
      <c r="D28" s="241">
        <v>-62.561552097086249</v>
      </c>
      <c r="E28" s="241">
        <v>-46.92116407281469</v>
      </c>
      <c r="F28" s="241">
        <v>-39.100970060678904</v>
      </c>
      <c r="G28" s="241">
        <v>-31.280776048543125</v>
      </c>
      <c r="H28" s="241">
        <v>-54.741358084950477</v>
      </c>
      <c r="I28" s="241">
        <v>-132.9432982063083</v>
      </c>
      <c r="J28" s="241">
        <v>-132.9432982063083</v>
      </c>
      <c r="K28" s="241">
        <v>-101.66252215776515</v>
      </c>
      <c r="L28" s="241">
        <v>-39.100970060678904</v>
      </c>
      <c r="M28" s="241">
        <v>-54.741358084950477</v>
      </c>
      <c r="N28" s="241">
        <v>-54.741358084950477</v>
      </c>
      <c r="O28" s="242">
        <v>-805.47998324998548</v>
      </c>
    </row>
    <row r="29" spans="1:15" ht="13" x14ac:dyDescent="0.3">
      <c r="A29" s="239"/>
      <c r="B29" s="107" t="s">
        <v>27</v>
      </c>
      <c r="C29" s="240">
        <v>-1144.7113580849498</v>
      </c>
      <c r="D29" s="241">
        <v>-1308.2415520970865</v>
      </c>
      <c r="E29" s="241">
        <v>-981.18116407281491</v>
      </c>
      <c r="F29" s="241">
        <v>-817.65097006067913</v>
      </c>
      <c r="G29" s="241">
        <v>-654.12077604854323</v>
      </c>
      <c r="H29" s="241">
        <v>-1144.7113580849498</v>
      </c>
      <c r="I29" s="241">
        <v>-2780.0132982063078</v>
      </c>
      <c r="J29" s="241">
        <v>-2780.0132982063078</v>
      </c>
      <c r="K29" s="241">
        <v>-2125.8925221577647</v>
      </c>
      <c r="L29" s="241">
        <v>-817.65097006067913</v>
      </c>
      <c r="M29" s="241">
        <v>-1144.7113580849498</v>
      </c>
      <c r="N29" s="241">
        <v>-1144.7113580849498</v>
      </c>
      <c r="O29" s="242">
        <v>-16843.609983249982</v>
      </c>
    </row>
    <row r="30" spans="1:15" x14ac:dyDescent="0.25">
      <c r="A30" s="239"/>
      <c r="B30" s="107" t="s">
        <v>49</v>
      </c>
      <c r="C30" s="108">
        <v>11877.46</v>
      </c>
      <c r="D30" s="96">
        <v>13574.24</v>
      </c>
      <c r="E30" s="96">
        <v>10180.68</v>
      </c>
      <c r="F30" s="96">
        <v>8483.9</v>
      </c>
      <c r="G30" s="96">
        <v>6787.12</v>
      </c>
      <c r="H30" s="96">
        <v>11877.46</v>
      </c>
      <c r="I30" s="96">
        <v>28845.26</v>
      </c>
      <c r="J30" s="96">
        <v>28845.26</v>
      </c>
      <c r="K30" s="96">
        <v>22058.14</v>
      </c>
      <c r="L30" s="96">
        <v>8483.9</v>
      </c>
      <c r="M30" s="96">
        <v>11877.46</v>
      </c>
      <c r="N30" s="96">
        <v>11877.46</v>
      </c>
      <c r="O30" s="109">
        <v>174768.33999999997</v>
      </c>
    </row>
    <row r="31" spans="1:15" x14ac:dyDescent="0.25">
      <c r="A31" s="239"/>
      <c r="B31" s="107" t="s">
        <v>87</v>
      </c>
      <c r="C31" s="108">
        <v>0</v>
      </c>
      <c r="D31" s="96">
        <v>0</v>
      </c>
      <c r="E31" s="96">
        <v>0</v>
      </c>
      <c r="F31" s="96">
        <v>0</v>
      </c>
      <c r="G31" s="96">
        <v>0</v>
      </c>
      <c r="H31" s="96">
        <v>0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109">
        <v>0</v>
      </c>
    </row>
    <row r="32" spans="1:15" x14ac:dyDescent="0.25">
      <c r="A32" s="239"/>
      <c r="B32" s="107" t="s">
        <v>89</v>
      </c>
      <c r="C32" s="108">
        <v>0</v>
      </c>
      <c r="D32" s="96">
        <v>0</v>
      </c>
      <c r="E32" s="96">
        <v>0</v>
      </c>
      <c r="F32" s="96">
        <v>0</v>
      </c>
      <c r="G32" s="96">
        <v>0</v>
      </c>
      <c r="H32" s="96">
        <v>0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109">
        <v>0</v>
      </c>
    </row>
    <row r="33" spans="1:15" x14ac:dyDescent="0.25">
      <c r="A33" s="97" t="s">
        <v>16</v>
      </c>
      <c r="B33" s="97" t="s">
        <v>70</v>
      </c>
      <c r="C33" s="104">
        <v>1541.07</v>
      </c>
      <c r="D33" s="105">
        <v>6164.28</v>
      </c>
      <c r="E33" s="105">
        <v>1541.07</v>
      </c>
      <c r="F33" s="105">
        <v>4623.21</v>
      </c>
      <c r="G33" s="105">
        <v>4623.21</v>
      </c>
      <c r="H33" s="105">
        <v>3082.14</v>
      </c>
      <c r="I33" s="105">
        <v>9246.42</v>
      </c>
      <c r="J33" s="105">
        <v>6164.28</v>
      </c>
      <c r="K33" s="105">
        <v>4623.21</v>
      </c>
      <c r="L33" s="105">
        <v>6164.28</v>
      </c>
      <c r="M33" s="105">
        <v>6164.28</v>
      </c>
      <c r="N33" s="105">
        <v>6164.28</v>
      </c>
      <c r="O33" s="106">
        <v>60101.729999999996</v>
      </c>
    </row>
    <row r="34" spans="1:15" ht="13" x14ac:dyDescent="0.3">
      <c r="A34" s="239"/>
      <c r="B34" s="107" t="s">
        <v>25</v>
      </c>
      <c r="C34" s="240">
        <v>-155.71000000000004</v>
      </c>
      <c r="D34" s="241">
        <v>-622.84000000000015</v>
      </c>
      <c r="E34" s="241">
        <v>-155.71000000000004</v>
      </c>
      <c r="F34" s="241">
        <v>-467.13000000000011</v>
      </c>
      <c r="G34" s="241">
        <v>-467.13000000000011</v>
      </c>
      <c r="H34" s="241">
        <v>-311.42000000000007</v>
      </c>
      <c r="I34" s="241">
        <v>-934.26000000000022</v>
      </c>
      <c r="J34" s="241">
        <v>-622.84000000000015</v>
      </c>
      <c r="K34" s="241">
        <v>-467.13000000000011</v>
      </c>
      <c r="L34" s="241">
        <v>-622.84000000000015</v>
      </c>
      <c r="M34" s="241">
        <v>-622.84000000000015</v>
      </c>
      <c r="N34" s="241">
        <v>-622.84000000000015</v>
      </c>
      <c r="O34" s="242">
        <v>-6072.6900000000014</v>
      </c>
    </row>
    <row r="35" spans="1:15" ht="13" x14ac:dyDescent="0.3">
      <c r="A35" s="239"/>
      <c r="B35" s="107" t="s">
        <v>26</v>
      </c>
      <c r="C35" s="240">
        <v>-7.8201940121357811</v>
      </c>
      <c r="D35" s="241">
        <v>-31.280776048543125</v>
      </c>
      <c r="E35" s="241">
        <v>-7.8201940121357811</v>
      </c>
      <c r="F35" s="241">
        <v>-23.460582036407345</v>
      </c>
      <c r="G35" s="241">
        <v>-23.460582036407345</v>
      </c>
      <c r="H35" s="241">
        <v>-15.640388024271562</v>
      </c>
      <c r="I35" s="241">
        <v>-46.92116407281469</v>
      </c>
      <c r="J35" s="241">
        <v>-31.280776048543125</v>
      </c>
      <c r="K35" s="241">
        <v>-23.460582036407345</v>
      </c>
      <c r="L35" s="241">
        <v>-31.280776048543125</v>
      </c>
      <c r="M35" s="241">
        <v>-31.280776048543125</v>
      </c>
      <c r="N35" s="241">
        <v>-31.280776048543125</v>
      </c>
      <c r="O35" s="242">
        <v>-304.98756647329549</v>
      </c>
    </row>
    <row r="36" spans="1:15" ht="13" x14ac:dyDescent="0.3">
      <c r="A36" s="239"/>
      <c r="B36" s="107" t="s">
        <v>27</v>
      </c>
      <c r="C36" s="240">
        <v>-163.53019401213581</v>
      </c>
      <c r="D36" s="241">
        <v>-654.12077604854323</v>
      </c>
      <c r="E36" s="241">
        <v>-163.53019401213581</v>
      </c>
      <c r="F36" s="241">
        <v>-490.59058203640745</v>
      </c>
      <c r="G36" s="241">
        <v>-490.59058203640745</v>
      </c>
      <c r="H36" s="241">
        <v>-327.06038802427162</v>
      </c>
      <c r="I36" s="241">
        <v>-981.18116407281491</v>
      </c>
      <c r="J36" s="241">
        <v>-654.12077604854323</v>
      </c>
      <c r="K36" s="241">
        <v>-490.59058203640745</v>
      </c>
      <c r="L36" s="241">
        <v>-654.12077604854323</v>
      </c>
      <c r="M36" s="241">
        <v>-654.12077604854323</v>
      </c>
      <c r="N36" s="241">
        <v>-654.12077604854323</v>
      </c>
      <c r="O36" s="242">
        <v>-6377.6775664732968</v>
      </c>
    </row>
    <row r="37" spans="1:15" x14ac:dyDescent="0.25">
      <c r="A37" s="239"/>
      <c r="B37" s="107" t="s">
        <v>49</v>
      </c>
      <c r="C37" s="108">
        <v>1696.78</v>
      </c>
      <c r="D37" s="96">
        <v>6787.12</v>
      </c>
      <c r="E37" s="96">
        <v>1696.78</v>
      </c>
      <c r="F37" s="96">
        <v>5090.34</v>
      </c>
      <c r="G37" s="96">
        <v>5090.34</v>
      </c>
      <c r="H37" s="96">
        <v>3393.56</v>
      </c>
      <c r="I37" s="96">
        <v>10180.68</v>
      </c>
      <c r="J37" s="96">
        <v>6787.12</v>
      </c>
      <c r="K37" s="96">
        <v>5090.34</v>
      </c>
      <c r="L37" s="96">
        <v>6787.12</v>
      </c>
      <c r="M37" s="96">
        <v>6787.12</v>
      </c>
      <c r="N37" s="96">
        <v>6787.12</v>
      </c>
      <c r="O37" s="109">
        <v>66174.420000000013</v>
      </c>
    </row>
    <row r="38" spans="1:15" x14ac:dyDescent="0.25">
      <c r="A38" s="239"/>
      <c r="B38" s="107" t="s">
        <v>87</v>
      </c>
      <c r="C38" s="108">
        <v>0</v>
      </c>
      <c r="D38" s="96">
        <v>0</v>
      </c>
      <c r="E38" s="96">
        <v>0</v>
      </c>
      <c r="F38" s="96">
        <v>0</v>
      </c>
      <c r="G38" s="96">
        <v>0</v>
      </c>
      <c r="H38" s="96">
        <v>0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109">
        <v>0</v>
      </c>
    </row>
    <row r="39" spans="1:15" x14ac:dyDescent="0.25">
      <c r="A39" s="239"/>
      <c r="B39" s="107" t="s">
        <v>89</v>
      </c>
      <c r="C39" s="108">
        <v>0</v>
      </c>
      <c r="D39" s="96">
        <v>0</v>
      </c>
      <c r="E39" s="96">
        <v>0</v>
      </c>
      <c r="F39" s="96">
        <v>0</v>
      </c>
      <c r="G39" s="96">
        <v>0</v>
      </c>
      <c r="H39" s="96">
        <v>0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109">
        <v>0</v>
      </c>
    </row>
    <row r="40" spans="1:15" x14ac:dyDescent="0.25">
      <c r="A40" s="97" t="s">
        <v>19</v>
      </c>
      <c r="B40" s="97" t="s">
        <v>70</v>
      </c>
      <c r="C40" s="104">
        <v>66266.009999999995</v>
      </c>
      <c r="D40" s="105">
        <v>57019.59</v>
      </c>
      <c r="E40" s="105">
        <v>61642.799999999996</v>
      </c>
      <c r="F40" s="105">
        <v>55478.52</v>
      </c>
      <c r="G40" s="105">
        <v>63183.869999999995</v>
      </c>
      <c r="H40" s="105">
        <v>61642.799999999996</v>
      </c>
      <c r="I40" s="105">
        <v>70889.22</v>
      </c>
      <c r="J40" s="105">
        <v>72430.289999999994</v>
      </c>
      <c r="K40" s="105">
        <v>69348.149999999994</v>
      </c>
      <c r="L40" s="105">
        <v>64905.245189999994</v>
      </c>
      <c r="M40" s="105">
        <v>66266.009999999995</v>
      </c>
      <c r="N40" s="105">
        <v>58560.659999999996</v>
      </c>
      <c r="O40" s="106">
        <v>767633.16518999997</v>
      </c>
    </row>
    <row r="41" spans="1:15" ht="13" x14ac:dyDescent="0.3">
      <c r="A41" s="239"/>
      <c r="B41" s="107" t="s">
        <v>25</v>
      </c>
      <c r="C41" s="240">
        <v>-6695.5299999999988</v>
      </c>
      <c r="D41" s="241">
        <v>-5761.2700000000041</v>
      </c>
      <c r="E41" s="241">
        <v>-6228.4000000000015</v>
      </c>
      <c r="F41" s="241">
        <v>-5605.5600000000049</v>
      </c>
      <c r="G41" s="241">
        <v>-6384.1100000000006</v>
      </c>
      <c r="H41" s="241">
        <v>-6228.4000000000015</v>
      </c>
      <c r="I41" s="241">
        <v>-7162.6600000000035</v>
      </c>
      <c r="J41" s="241">
        <v>-7318.3700000000099</v>
      </c>
      <c r="K41" s="241">
        <v>-7006.9500000000116</v>
      </c>
      <c r="L41" s="241">
        <v>-6558.0380700000023</v>
      </c>
      <c r="M41" s="241">
        <v>-6695.5299999999988</v>
      </c>
      <c r="N41" s="241">
        <v>-5916.9800000000032</v>
      </c>
      <c r="O41" s="242">
        <v>-77561.798070000048</v>
      </c>
    </row>
    <row r="42" spans="1:15" ht="13" x14ac:dyDescent="0.3">
      <c r="A42" s="239"/>
      <c r="B42" s="107" t="s">
        <v>26</v>
      </c>
      <c r="C42" s="240">
        <v>-336.26834252183863</v>
      </c>
      <c r="D42" s="241">
        <v>-289.34717844902389</v>
      </c>
      <c r="E42" s="241">
        <v>-312.80776048543123</v>
      </c>
      <c r="F42" s="241">
        <v>-281.52698443688814</v>
      </c>
      <c r="G42" s="241">
        <v>-320.62795449756703</v>
      </c>
      <c r="H42" s="241">
        <v>-312.80776048543123</v>
      </c>
      <c r="I42" s="241">
        <v>-359.72892455824592</v>
      </c>
      <c r="J42" s="241">
        <v>-367.54911857038172</v>
      </c>
      <c r="K42" s="241">
        <v>-351.90873054611018</v>
      </c>
      <c r="L42" s="241">
        <v>-329.36311120912268</v>
      </c>
      <c r="M42" s="241">
        <v>-336.26834252183863</v>
      </c>
      <c r="N42" s="241">
        <v>-297.16737246115969</v>
      </c>
      <c r="O42" s="242">
        <v>-3895.3715807430394</v>
      </c>
    </row>
    <row r="43" spans="1:15" ht="13" x14ac:dyDescent="0.3">
      <c r="A43" s="239"/>
      <c r="B43" s="107" t="s">
        <v>27</v>
      </c>
      <c r="C43" s="240">
        <v>-7031.7983425218372</v>
      </c>
      <c r="D43" s="241">
        <v>-6050.617178449028</v>
      </c>
      <c r="E43" s="241">
        <v>-6541.207760485433</v>
      </c>
      <c r="F43" s="241">
        <v>-5887.0869844368935</v>
      </c>
      <c r="G43" s="241">
        <v>-6704.7379544975674</v>
      </c>
      <c r="H43" s="241">
        <v>-6541.207760485433</v>
      </c>
      <c r="I43" s="241">
        <v>-7522.3889245582495</v>
      </c>
      <c r="J43" s="241">
        <v>-7685.9191185703912</v>
      </c>
      <c r="K43" s="241">
        <v>-7358.8587305461215</v>
      </c>
      <c r="L43" s="241">
        <v>-6887.4011812091248</v>
      </c>
      <c r="M43" s="241">
        <v>-7031.7983425218372</v>
      </c>
      <c r="N43" s="241">
        <v>-6214.1473724611633</v>
      </c>
      <c r="O43" s="242">
        <v>-81457.169650743061</v>
      </c>
    </row>
    <row r="44" spans="1:15" x14ac:dyDescent="0.25">
      <c r="A44" s="239"/>
      <c r="B44" s="107" t="s">
        <v>49</v>
      </c>
      <c r="C44" s="108">
        <v>72961.539999999994</v>
      </c>
      <c r="D44" s="96">
        <v>62780.86</v>
      </c>
      <c r="E44" s="96">
        <v>67871.199999999997</v>
      </c>
      <c r="F44" s="96">
        <v>61084.08</v>
      </c>
      <c r="G44" s="96">
        <v>69567.98</v>
      </c>
      <c r="H44" s="96">
        <v>67871.199999999997</v>
      </c>
      <c r="I44" s="96">
        <v>78051.88</v>
      </c>
      <c r="J44" s="96">
        <v>79748.66</v>
      </c>
      <c r="K44" s="96">
        <v>76355.100000000006</v>
      </c>
      <c r="L44" s="96">
        <v>71463.283259999997</v>
      </c>
      <c r="M44" s="96">
        <v>72961.539999999994</v>
      </c>
      <c r="N44" s="96">
        <v>64477.64</v>
      </c>
      <c r="O44" s="109">
        <v>845194.96325999999</v>
      </c>
    </row>
    <row r="45" spans="1:15" x14ac:dyDescent="0.25">
      <c r="A45" s="239"/>
      <c r="B45" s="107" t="s">
        <v>87</v>
      </c>
      <c r="C45" s="108">
        <v>0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J45" s="96">
        <v>0</v>
      </c>
      <c r="K45" s="96">
        <v>0</v>
      </c>
      <c r="L45" s="96">
        <v>0</v>
      </c>
      <c r="M45" s="96">
        <v>0</v>
      </c>
      <c r="N45" s="96">
        <v>0</v>
      </c>
      <c r="O45" s="109">
        <v>0</v>
      </c>
    </row>
    <row r="46" spans="1:15" x14ac:dyDescent="0.25">
      <c r="A46" s="239"/>
      <c r="B46" s="107" t="s">
        <v>89</v>
      </c>
      <c r="C46" s="108">
        <v>0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J46" s="96">
        <v>0</v>
      </c>
      <c r="K46" s="96">
        <v>0</v>
      </c>
      <c r="L46" s="96">
        <v>0</v>
      </c>
      <c r="M46" s="96">
        <v>0</v>
      </c>
      <c r="N46" s="96">
        <v>0</v>
      </c>
      <c r="O46" s="109">
        <v>0</v>
      </c>
    </row>
    <row r="47" spans="1:15" x14ac:dyDescent="0.25">
      <c r="A47" s="97" t="s">
        <v>8</v>
      </c>
      <c r="B47" s="97" t="s">
        <v>70</v>
      </c>
      <c r="C47" s="104">
        <v>117121.31999999999</v>
      </c>
      <c r="D47" s="105">
        <v>130990.95</v>
      </c>
      <c r="E47" s="105">
        <v>132532.01999999999</v>
      </c>
      <c r="F47" s="105">
        <v>120203.45999999999</v>
      </c>
      <c r="G47" s="105">
        <v>141778.44</v>
      </c>
      <c r="H47" s="105">
        <v>212667.66</v>
      </c>
      <c r="I47" s="105">
        <v>226537.28999999998</v>
      </c>
      <c r="J47" s="105">
        <v>240406.91999999998</v>
      </c>
      <c r="K47" s="105">
        <v>215749.8</v>
      </c>
      <c r="L47" s="105">
        <v>192633.75</v>
      </c>
      <c r="M47" s="105">
        <v>121744.53</v>
      </c>
      <c r="N47" s="105">
        <v>124826.67</v>
      </c>
      <c r="O47" s="106">
        <v>1977192.8099999998</v>
      </c>
    </row>
    <row r="48" spans="1:15" ht="13" x14ac:dyDescent="0.3">
      <c r="A48" s="239"/>
      <c r="B48" s="107" t="s">
        <v>25</v>
      </c>
      <c r="C48" s="240">
        <v>-11833.960000000006</v>
      </c>
      <c r="D48" s="241">
        <v>-13235.349999999991</v>
      </c>
      <c r="E48" s="241">
        <v>-13391.059999999998</v>
      </c>
      <c r="F48" s="241">
        <v>-12145.380000000005</v>
      </c>
      <c r="G48" s="241">
        <v>-14325.320000000007</v>
      </c>
      <c r="H48" s="241">
        <v>-21487.979999999981</v>
      </c>
      <c r="I48" s="241">
        <v>-22889.370000000024</v>
      </c>
      <c r="J48" s="241">
        <v>-24290.760000000009</v>
      </c>
      <c r="K48" s="241">
        <v>-21799.399999999994</v>
      </c>
      <c r="L48" s="241">
        <v>-19463.75</v>
      </c>
      <c r="M48" s="241">
        <v>-12301.089999999997</v>
      </c>
      <c r="N48" s="241">
        <v>-12612.509999999995</v>
      </c>
      <c r="O48" s="242">
        <v>-199775.93</v>
      </c>
    </row>
    <row r="49" spans="1:15" ht="13" x14ac:dyDescent="0.3">
      <c r="A49" s="239"/>
      <c r="B49" s="107" t="s">
        <v>26</v>
      </c>
      <c r="C49" s="240">
        <v>-594.33474492231937</v>
      </c>
      <c r="D49" s="241">
        <v>-664.71649103154141</v>
      </c>
      <c r="E49" s="241">
        <v>-672.53668504367727</v>
      </c>
      <c r="F49" s="241">
        <v>-609.97513294659097</v>
      </c>
      <c r="G49" s="241">
        <v>-719.45784911649184</v>
      </c>
      <c r="H49" s="241">
        <v>-1079.1867736747377</v>
      </c>
      <c r="I49" s="241">
        <v>-1149.5685197839598</v>
      </c>
      <c r="J49" s="241">
        <v>-1219.9502658931819</v>
      </c>
      <c r="K49" s="241">
        <v>-1094.8271616990094</v>
      </c>
      <c r="L49" s="241">
        <v>-977.52425151697253</v>
      </c>
      <c r="M49" s="241">
        <v>-617.79532695872672</v>
      </c>
      <c r="N49" s="241">
        <v>-633.43571498299832</v>
      </c>
      <c r="O49" s="242">
        <v>-10033.308917570206</v>
      </c>
    </row>
    <row r="50" spans="1:15" ht="13" x14ac:dyDescent="0.3">
      <c r="A50" s="239"/>
      <c r="B50" s="107" t="s">
        <v>27</v>
      </c>
      <c r="C50" s="240">
        <v>-12428.294744922327</v>
      </c>
      <c r="D50" s="241">
        <v>-13900.066491031532</v>
      </c>
      <c r="E50" s="241">
        <v>-14063.596685043674</v>
      </c>
      <c r="F50" s="241">
        <v>-12755.355132946595</v>
      </c>
      <c r="G50" s="241">
        <v>-15044.777849116499</v>
      </c>
      <c r="H50" s="241">
        <v>-22567.166773674719</v>
      </c>
      <c r="I50" s="241">
        <v>-24038.938519783984</v>
      </c>
      <c r="J50" s="241">
        <v>-25510.710265893191</v>
      </c>
      <c r="K50" s="241">
        <v>-22894.227161699004</v>
      </c>
      <c r="L50" s="241">
        <v>-20441.274251516974</v>
      </c>
      <c r="M50" s="241">
        <v>-12918.885326958723</v>
      </c>
      <c r="N50" s="241">
        <v>-13245.945714982992</v>
      </c>
      <c r="O50" s="242">
        <v>-209809.23891757021</v>
      </c>
    </row>
    <row r="51" spans="1:15" x14ac:dyDescent="0.25">
      <c r="A51" s="239"/>
      <c r="B51" s="107" t="s">
        <v>49</v>
      </c>
      <c r="C51" s="108">
        <v>128955.28</v>
      </c>
      <c r="D51" s="96">
        <v>144226.29999999999</v>
      </c>
      <c r="E51" s="96">
        <v>145923.07999999999</v>
      </c>
      <c r="F51" s="96">
        <v>132348.84</v>
      </c>
      <c r="G51" s="96">
        <v>156103.76</v>
      </c>
      <c r="H51" s="96">
        <v>234155.63999999998</v>
      </c>
      <c r="I51" s="96">
        <v>249426.66</v>
      </c>
      <c r="J51" s="96">
        <v>264697.68</v>
      </c>
      <c r="K51" s="96">
        <v>237549.19999999998</v>
      </c>
      <c r="L51" s="96">
        <v>212097.5</v>
      </c>
      <c r="M51" s="96">
        <v>134045.62</v>
      </c>
      <c r="N51" s="96">
        <v>137439.18</v>
      </c>
      <c r="O51" s="109">
        <v>2176968.7399999998</v>
      </c>
    </row>
    <row r="52" spans="1:15" x14ac:dyDescent="0.25">
      <c r="A52" s="239"/>
      <c r="B52" s="107" t="s">
        <v>87</v>
      </c>
      <c r="C52" s="108">
        <v>0</v>
      </c>
      <c r="D52" s="96">
        <v>0</v>
      </c>
      <c r="E52" s="96">
        <v>0</v>
      </c>
      <c r="F52" s="96">
        <v>0</v>
      </c>
      <c r="G52" s="96">
        <v>0</v>
      </c>
      <c r="H52" s="96">
        <v>0</v>
      </c>
      <c r="I52" s="96">
        <v>0</v>
      </c>
      <c r="J52" s="96">
        <v>0</v>
      </c>
      <c r="K52" s="96">
        <v>0</v>
      </c>
      <c r="L52" s="96">
        <v>0</v>
      </c>
      <c r="M52" s="96">
        <v>0</v>
      </c>
      <c r="N52" s="96">
        <v>0</v>
      </c>
      <c r="O52" s="109">
        <v>0</v>
      </c>
    </row>
    <row r="53" spans="1:15" x14ac:dyDescent="0.25">
      <c r="A53" s="239"/>
      <c r="B53" s="107" t="s">
        <v>89</v>
      </c>
      <c r="C53" s="108">
        <v>0</v>
      </c>
      <c r="D53" s="96">
        <v>0</v>
      </c>
      <c r="E53" s="96">
        <v>0</v>
      </c>
      <c r="F53" s="96">
        <v>0</v>
      </c>
      <c r="G53" s="96">
        <v>0</v>
      </c>
      <c r="H53" s="96">
        <v>0</v>
      </c>
      <c r="I53" s="96">
        <v>0</v>
      </c>
      <c r="J53" s="96">
        <v>0</v>
      </c>
      <c r="K53" s="96">
        <v>0</v>
      </c>
      <c r="L53" s="96">
        <v>0</v>
      </c>
      <c r="M53" s="96">
        <v>0</v>
      </c>
      <c r="N53" s="96">
        <v>0</v>
      </c>
      <c r="O53" s="109">
        <v>0</v>
      </c>
    </row>
    <row r="54" spans="1:15" x14ac:dyDescent="0.25">
      <c r="A54" s="97" t="s">
        <v>21</v>
      </c>
      <c r="B54" s="97" t="s">
        <v>70</v>
      </c>
      <c r="C54" s="104">
        <v>3946680.27</v>
      </c>
      <c r="D54" s="105">
        <v>4302667.4399999995</v>
      </c>
      <c r="E54" s="105">
        <v>4322701.3499999996</v>
      </c>
      <c r="F54" s="105">
        <v>3966714.1799999997</v>
      </c>
      <c r="G54" s="105">
        <v>4576977.8999999994</v>
      </c>
      <c r="H54" s="105">
        <v>5738944.6799999997</v>
      </c>
      <c r="I54" s="105">
        <v>6045617.6099999994</v>
      </c>
      <c r="J54" s="105">
        <v>6301435.2299999995</v>
      </c>
      <c r="K54" s="105">
        <v>5749732.1699999999</v>
      </c>
      <c r="L54" s="105">
        <v>5435353.8899999997</v>
      </c>
      <c r="M54" s="105">
        <v>3959008.8299999996</v>
      </c>
      <c r="N54" s="105">
        <v>4005240.9299999997</v>
      </c>
      <c r="O54" s="106">
        <v>58351074.479999997</v>
      </c>
    </row>
    <row r="55" spans="1:15" ht="13" x14ac:dyDescent="0.3">
      <c r="A55" s="239"/>
      <c r="B55" s="107" t="s">
        <v>25</v>
      </c>
      <c r="C55" s="240">
        <v>-398773.31000000006</v>
      </c>
      <c r="D55" s="241">
        <v>-434742.3200000003</v>
      </c>
      <c r="E55" s="241">
        <v>-436766.55000000075</v>
      </c>
      <c r="F55" s="241">
        <v>-400797.54000000004</v>
      </c>
      <c r="G55" s="241">
        <v>-462458.70000000019</v>
      </c>
      <c r="H55" s="241">
        <v>-579864.04</v>
      </c>
      <c r="I55" s="241">
        <v>-610850.33000000007</v>
      </c>
      <c r="J55" s="241">
        <v>-636698.19000000041</v>
      </c>
      <c r="K55" s="241">
        <v>-580954.00999999978</v>
      </c>
      <c r="L55" s="241">
        <v>-549189.16999999993</v>
      </c>
      <c r="M55" s="241">
        <v>-400018.99000000069</v>
      </c>
      <c r="N55" s="241">
        <v>-404690.29000000004</v>
      </c>
      <c r="O55" s="242">
        <v>-5895803.4400000023</v>
      </c>
    </row>
    <row r="56" spans="1:15" ht="13" x14ac:dyDescent="0.3">
      <c r="A56" s="239"/>
      <c r="B56" s="107" t="s">
        <v>26</v>
      </c>
      <c r="C56" s="240">
        <v>-20027.516865079735</v>
      </c>
      <c r="D56" s="241">
        <v>-21833.981681883099</v>
      </c>
      <c r="E56" s="241">
        <v>-21935.644204040866</v>
      </c>
      <c r="F56" s="241">
        <v>-20129.179387237502</v>
      </c>
      <c r="G56" s="241">
        <v>-23225.976216043269</v>
      </c>
      <c r="H56" s="241">
        <v>-29122.402501193646</v>
      </c>
      <c r="I56" s="241">
        <v>-30678.62110960867</v>
      </c>
      <c r="J56" s="241">
        <v>-31976.773315623206</v>
      </c>
      <c r="K56" s="241">
        <v>-29177.143859278596</v>
      </c>
      <c r="L56" s="241">
        <v>-27581.824280802903</v>
      </c>
      <c r="M56" s="241">
        <v>-20090.078417176821</v>
      </c>
      <c r="N56" s="241">
        <v>-20324.684237540896</v>
      </c>
      <c r="O56" s="242">
        <v>-296103.82607550919</v>
      </c>
    </row>
    <row r="57" spans="1:15" ht="13" x14ac:dyDescent="0.3">
      <c r="A57" s="239"/>
      <c r="B57" s="107" t="s">
        <v>27</v>
      </c>
      <c r="C57" s="240">
        <v>-418800.82686507981</v>
      </c>
      <c r="D57" s="241">
        <v>-456576.3016818834</v>
      </c>
      <c r="E57" s="241">
        <v>-458702.19420404162</v>
      </c>
      <c r="F57" s="241">
        <v>-420926.71938723756</v>
      </c>
      <c r="G57" s="241">
        <v>-485684.67621604347</v>
      </c>
      <c r="H57" s="241">
        <v>-608986.44250119373</v>
      </c>
      <c r="I57" s="241">
        <v>-641528.95110960875</v>
      </c>
      <c r="J57" s="241">
        <v>-668674.96331562358</v>
      </c>
      <c r="K57" s="241">
        <v>-610131.15385927842</v>
      </c>
      <c r="L57" s="241">
        <v>-576770.99428080278</v>
      </c>
      <c r="M57" s="241">
        <v>-420109.06841717754</v>
      </c>
      <c r="N57" s="241">
        <v>-425014.97423754091</v>
      </c>
      <c r="O57" s="242">
        <v>-6191907.2660755115</v>
      </c>
    </row>
    <row r="58" spans="1:15" x14ac:dyDescent="0.25">
      <c r="A58" s="239"/>
      <c r="B58" s="107" t="s">
        <v>49</v>
      </c>
      <c r="C58" s="108">
        <v>4345453.58</v>
      </c>
      <c r="D58" s="96">
        <v>4737409.76</v>
      </c>
      <c r="E58" s="96">
        <v>4759467.9000000004</v>
      </c>
      <c r="F58" s="96">
        <v>4367511.72</v>
      </c>
      <c r="G58" s="96">
        <v>5039436.5999999996</v>
      </c>
      <c r="H58" s="96">
        <v>6318808.7199999997</v>
      </c>
      <c r="I58" s="96">
        <v>6656467.9399999995</v>
      </c>
      <c r="J58" s="96">
        <v>6938133.4199999999</v>
      </c>
      <c r="K58" s="96">
        <v>6330686.1799999997</v>
      </c>
      <c r="L58" s="96">
        <v>5984543.0599999996</v>
      </c>
      <c r="M58" s="96">
        <v>4359027.82</v>
      </c>
      <c r="N58" s="96">
        <v>4409931.22</v>
      </c>
      <c r="O58" s="109">
        <v>64246877.920000002</v>
      </c>
    </row>
    <row r="59" spans="1:15" x14ac:dyDescent="0.25">
      <c r="A59" s="239"/>
      <c r="B59" s="107" t="s">
        <v>87</v>
      </c>
      <c r="C59" s="108">
        <v>0</v>
      </c>
      <c r="D59" s="96">
        <v>0</v>
      </c>
      <c r="E59" s="96">
        <v>0</v>
      </c>
      <c r="F59" s="96">
        <v>0</v>
      </c>
      <c r="G59" s="96">
        <v>0</v>
      </c>
      <c r="H59" s="96">
        <v>0</v>
      </c>
      <c r="I59" s="96">
        <v>0</v>
      </c>
      <c r="J59" s="96">
        <v>0</v>
      </c>
      <c r="K59" s="96">
        <v>0</v>
      </c>
      <c r="L59" s="96">
        <v>0</v>
      </c>
      <c r="M59" s="96">
        <v>0</v>
      </c>
      <c r="N59" s="96">
        <v>0</v>
      </c>
      <c r="O59" s="109">
        <v>0</v>
      </c>
    </row>
    <row r="60" spans="1:15" x14ac:dyDescent="0.25">
      <c r="A60" s="239"/>
      <c r="B60" s="107" t="s">
        <v>89</v>
      </c>
      <c r="C60" s="108">
        <v>0</v>
      </c>
      <c r="D60" s="96">
        <v>0</v>
      </c>
      <c r="E60" s="96">
        <v>0</v>
      </c>
      <c r="F60" s="96">
        <v>0</v>
      </c>
      <c r="G60" s="96">
        <v>0</v>
      </c>
      <c r="H60" s="96">
        <v>0</v>
      </c>
      <c r="I60" s="96">
        <v>0</v>
      </c>
      <c r="J60" s="96">
        <v>0</v>
      </c>
      <c r="K60" s="96">
        <v>0</v>
      </c>
      <c r="L60" s="96">
        <v>0</v>
      </c>
      <c r="M60" s="96">
        <v>0</v>
      </c>
      <c r="N60" s="96">
        <v>0</v>
      </c>
      <c r="O60" s="109">
        <v>0</v>
      </c>
    </row>
    <row r="61" spans="1:15" x14ac:dyDescent="0.25">
      <c r="A61" s="97" t="s">
        <v>22</v>
      </c>
      <c r="B61" s="97" t="s">
        <v>70</v>
      </c>
      <c r="C61" s="104">
        <v>4618586.79</v>
      </c>
      <c r="D61" s="105">
        <v>4455233.37</v>
      </c>
      <c r="E61" s="105">
        <v>4580060.04</v>
      </c>
      <c r="F61" s="105">
        <v>3774080.4299999997</v>
      </c>
      <c r="G61" s="105">
        <v>4703345.6399999997</v>
      </c>
      <c r="H61" s="105">
        <v>5181077.34</v>
      </c>
      <c r="I61" s="105">
        <v>5327478.99</v>
      </c>
      <c r="J61" s="105">
        <v>5646480.4799999995</v>
      </c>
      <c r="K61" s="105">
        <v>5353677.18</v>
      </c>
      <c r="L61" s="105">
        <v>5087072.0699999994</v>
      </c>
      <c r="M61" s="105">
        <v>4518417.24</v>
      </c>
      <c r="N61" s="105">
        <v>4375097.7299999995</v>
      </c>
      <c r="O61" s="106">
        <v>57620607.299999997</v>
      </c>
    </row>
    <row r="62" spans="1:15" ht="13" x14ac:dyDescent="0.3">
      <c r="A62" s="239"/>
      <c r="B62" s="107" t="s">
        <v>25</v>
      </c>
      <c r="C62" s="240">
        <v>-466662.87000000011</v>
      </c>
      <c r="D62" s="241">
        <v>-450157.6099999994</v>
      </c>
      <c r="E62" s="241">
        <v>-462770.12000000011</v>
      </c>
      <c r="F62" s="241">
        <v>-381333.79000000004</v>
      </c>
      <c r="G62" s="241">
        <v>-475226.91999999993</v>
      </c>
      <c r="H62" s="241">
        <v>-523497.02000000048</v>
      </c>
      <c r="I62" s="241">
        <v>-538289.46999999974</v>
      </c>
      <c r="J62" s="241">
        <v>-570521.44000000041</v>
      </c>
      <c r="K62" s="241">
        <v>-540936.54</v>
      </c>
      <c r="L62" s="241">
        <v>-513998.71000000089</v>
      </c>
      <c r="M62" s="241">
        <v>-456541.71999999974</v>
      </c>
      <c r="N62" s="241">
        <v>-442060.69000000041</v>
      </c>
      <c r="O62" s="242">
        <v>-5821996.9000000013</v>
      </c>
    </row>
    <row r="63" spans="1:15" ht="13" x14ac:dyDescent="0.3">
      <c r="A63" s="239"/>
      <c r="B63" s="107" t="s">
        <v>26</v>
      </c>
      <c r="C63" s="240">
        <v>-23437.121454370936</v>
      </c>
      <c r="D63" s="241">
        <v>-22608.180889084542</v>
      </c>
      <c r="E63" s="241">
        <v>-23241.616604067542</v>
      </c>
      <c r="F63" s="241">
        <v>-19151.655135720528</v>
      </c>
      <c r="G63" s="241">
        <v>-23867.232125038405</v>
      </c>
      <c r="H63" s="241">
        <v>-26291.492268800499</v>
      </c>
      <c r="I63" s="241">
        <v>-27034.410699953398</v>
      </c>
      <c r="J63" s="241">
        <v>-28653.1908604655</v>
      </c>
      <c r="K63" s="241">
        <v>-27167.353998159706</v>
      </c>
      <c r="L63" s="241">
        <v>-25814.460434060216</v>
      </c>
      <c r="M63" s="241">
        <v>-22928.808843582112</v>
      </c>
      <c r="N63" s="241">
        <v>-22201.530800453482</v>
      </c>
      <c r="O63" s="242">
        <v>-292397.05411375687</v>
      </c>
    </row>
    <row r="64" spans="1:15" ht="13" x14ac:dyDescent="0.3">
      <c r="A64" s="239"/>
      <c r="B64" s="107" t="s">
        <v>27</v>
      </c>
      <c r="C64" s="240">
        <v>-490099.99145437102</v>
      </c>
      <c r="D64" s="241">
        <v>-472765.79088908393</v>
      </c>
      <c r="E64" s="241">
        <v>-486011.73660406767</v>
      </c>
      <c r="F64" s="241">
        <v>-400485.44513572054</v>
      </c>
      <c r="G64" s="241">
        <v>-499094.15212503832</v>
      </c>
      <c r="H64" s="241">
        <v>-549788.51226880099</v>
      </c>
      <c r="I64" s="241">
        <v>-565323.88069995318</v>
      </c>
      <c r="J64" s="241">
        <v>-599174.63086046593</v>
      </c>
      <c r="K64" s="241">
        <v>-568103.89399815979</v>
      </c>
      <c r="L64" s="241">
        <v>-539813.17043406109</v>
      </c>
      <c r="M64" s="241">
        <v>-479470.52884358185</v>
      </c>
      <c r="N64" s="241">
        <v>-464262.22080045391</v>
      </c>
      <c r="O64" s="242">
        <v>-6114393.9541137582</v>
      </c>
    </row>
    <row r="65" spans="1:15" x14ac:dyDescent="0.25">
      <c r="A65" s="239"/>
      <c r="B65" s="107" t="s">
        <v>49</v>
      </c>
      <c r="C65" s="108">
        <v>5085249.66</v>
      </c>
      <c r="D65" s="96">
        <v>4905390.9799999995</v>
      </c>
      <c r="E65" s="96">
        <v>5042830.16</v>
      </c>
      <c r="F65" s="96">
        <v>4155414.2199999997</v>
      </c>
      <c r="G65" s="96">
        <v>5178572.5599999996</v>
      </c>
      <c r="H65" s="96">
        <v>5704574.3600000003</v>
      </c>
      <c r="I65" s="96">
        <v>5865768.46</v>
      </c>
      <c r="J65" s="96">
        <v>6217001.9199999999</v>
      </c>
      <c r="K65" s="96">
        <v>5894613.7199999997</v>
      </c>
      <c r="L65" s="96">
        <v>5601070.7800000003</v>
      </c>
      <c r="M65" s="96">
        <v>4974958.96</v>
      </c>
      <c r="N65" s="96">
        <v>4817158.42</v>
      </c>
      <c r="O65" s="109">
        <v>63442604.200000003</v>
      </c>
    </row>
    <row r="66" spans="1:15" x14ac:dyDescent="0.25">
      <c r="A66" s="239"/>
      <c r="B66" s="107" t="s">
        <v>87</v>
      </c>
      <c r="C66" s="108">
        <v>0</v>
      </c>
      <c r="D66" s="96">
        <v>0</v>
      </c>
      <c r="E66" s="96">
        <v>0</v>
      </c>
      <c r="F66" s="96">
        <v>0</v>
      </c>
      <c r="G66" s="96">
        <v>0</v>
      </c>
      <c r="H66" s="96">
        <v>0</v>
      </c>
      <c r="I66" s="96">
        <v>0</v>
      </c>
      <c r="J66" s="96">
        <v>0</v>
      </c>
      <c r="K66" s="96">
        <v>0</v>
      </c>
      <c r="L66" s="96">
        <v>0</v>
      </c>
      <c r="M66" s="96">
        <v>0</v>
      </c>
      <c r="N66" s="96">
        <v>0</v>
      </c>
      <c r="O66" s="109">
        <v>0</v>
      </c>
    </row>
    <row r="67" spans="1:15" x14ac:dyDescent="0.25">
      <c r="A67" s="239"/>
      <c r="B67" s="107" t="s">
        <v>89</v>
      </c>
      <c r="C67" s="108">
        <v>0</v>
      </c>
      <c r="D67" s="96">
        <v>0</v>
      </c>
      <c r="E67" s="96">
        <v>0</v>
      </c>
      <c r="F67" s="96">
        <v>0</v>
      </c>
      <c r="G67" s="96">
        <v>0</v>
      </c>
      <c r="H67" s="96">
        <v>0</v>
      </c>
      <c r="I67" s="96">
        <v>0</v>
      </c>
      <c r="J67" s="96">
        <v>0</v>
      </c>
      <c r="K67" s="96">
        <v>0</v>
      </c>
      <c r="L67" s="96">
        <v>0</v>
      </c>
      <c r="M67" s="96">
        <v>0</v>
      </c>
      <c r="N67" s="96">
        <v>0</v>
      </c>
      <c r="O67" s="109">
        <v>0</v>
      </c>
    </row>
    <row r="68" spans="1:15" x14ac:dyDescent="0.25">
      <c r="A68" s="97" t="s">
        <v>9</v>
      </c>
      <c r="B68" s="97" t="s">
        <v>70</v>
      </c>
      <c r="C68" s="104">
        <v>61642.799999999996</v>
      </c>
      <c r="D68" s="105">
        <v>61642.799999999996</v>
      </c>
      <c r="E68" s="105">
        <v>66266.009999999995</v>
      </c>
      <c r="F68" s="105">
        <v>41608.89</v>
      </c>
      <c r="G68" s="105">
        <v>50855.31</v>
      </c>
      <c r="H68" s="105">
        <v>60101.729999999996</v>
      </c>
      <c r="I68" s="105">
        <v>60101.729999999996</v>
      </c>
      <c r="J68" s="105">
        <v>66266.009999999995</v>
      </c>
      <c r="K68" s="105">
        <v>61642.799999999996</v>
      </c>
      <c r="L68" s="105">
        <v>46232.1</v>
      </c>
      <c r="M68" s="105">
        <v>57019.59</v>
      </c>
      <c r="N68" s="105">
        <v>63183.869999999995</v>
      </c>
      <c r="O68" s="106">
        <v>696563.6399999999</v>
      </c>
    </row>
    <row r="69" spans="1:15" ht="13" x14ac:dyDescent="0.3">
      <c r="A69" s="239"/>
      <c r="B69" s="107" t="s">
        <v>25</v>
      </c>
      <c r="C69" s="240">
        <v>-6228.4000000000015</v>
      </c>
      <c r="D69" s="241">
        <v>-6228.4000000000015</v>
      </c>
      <c r="E69" s="241">
        <v>-6695.5299999999988</v>
      </c>
      <c r="F69" s="241">
        <v>-4204.1699999999983</v>
      </c>
      <c r="G69" s="241">
        <v>-5138.43</v>
      </c>
      <c r="H69" s="241">
        <v>-6072.6900000000023</v>
      </c>
      <c r="I69" s="241">
        <v>-6072.6900000000023</v>
      </c>
      <c r="J69" s="241">
        <v>-6695.5299999999988</v>
      </c>
      <c r="K69" s="241">
        <v>-6228.4000000000015</v>
      </c>
      <c r="L69" s="241">
        <v>-4671.3000000000029</v>
      </c>
      <c r="M69" s="241">
        <v>-5761.2700000000041</v>
      </c>
      <c r="N69" s="241">
        <v>-6384.1100000000006</v>
      </c>
      <c r="O69" s="242">
        <v>-70380.920000000013</v>
      </c>
    </row>
    <row r="70" spans="1:15" ht="13" x14ac:dyDescent="0.3">
      <c r="A70" s="239"/>
      <c r="B70" s="107" t="s">
        <v>26</v>
      </c>
      <c r="C70" s="240">
        <v>-312.80776048543123</v>
      </c>
      <c r="D70" s="241">
        <v>-312.80776048543123</v>
      </c>
      <c r="E70" s="241">
        <v>-336.26834252183863</v>
      </c>
      <c r="F70" s="241">
        <v>-211.14523832766608</v>
      </c>
      <c r="G70" s="241">
        <v>-258.0664024004808</v>
      </c>
      <c r="H70" s="241">
        <v>-304.98756647329549</v>
      </c>
      <c r="I70" s="241">
        <v>-304.98756647329549</v>
      </c>
      <c r="J70" s="241">
        <v>-336.26834252183863</v>
      </c>
      <c r="K70" s="241">
        <v>-312.80776048543123</v>
      </c>
      <c r="L70" s="241">
        <v>-234.60582036407345</v>
      </c>
      <c r="M70" s="241">
        <v>-289.34717844902389</v>
      </c>
      <c r="N70" s="241">
        <v>-320.62795449756703</v>
      </c>
      <c r="O70" s="242">
        <v>-3534.7276934853726</v>
      </c>
    </row>
    <row r="71" spans="1:15" ht="13" x14ac:dyDescent="0.3">
      <c r="A71" s="239"/>
      <c r="B71" s="107" t="s">
        <v>27</v>
      </c>
      <c r="C71" s="240">
        <v>-6541.207760485433</v>
      </c>
      <c r="D71" s="241">
        <v>-6541.207760485433</v>
      </c>
      <c r="E71" s="241">
        <v>-7031.7983425218372</v>
      </c>
      <c r="F71" s="241">
        <v>-4415.3152383276647</v>
      </c>
      <c r="G71" s="241">
        <v>-5396.4964024004812</v>
      </c>
      <c r="H71" s="241">
        <v>-6377.6775664732977</v>
      </c>
      <c r="I71" s="241">
        <v>-6377.6775664732977</v>
      </c>
      <c r="J71" s="241">
        <v>-7031.7983425218372</v>
      </c>
      <c r="K71" s="241">
        <v>-6541.207760485433</v>
      </c>
      <c r="L71" s="241">
        <v>-4905.9058203640761</v>
      </c>
      <c r="M71" s="241">
        <v>-6050.617178449028</v>
      </c>
      <c r="N71" s="241">
        <v>-6704.7379544975674</v>
      </c>
      <c r="O71" s="242">
        <v>-73915.647693485385</v>
      </c>
    </row>
    <row r="72" spans="1:15" x14ac:dyDescent="0.25">
      <c r="A72" s="239"/>
      <c r="B72" s="107" t="s">
        <v>49</v>
      </c>
      <c r="C72" s="108">
        <v>67871.199999999997</v>
      </c>
      <c r="D72" s="96">
        <v>67871.199999999997</v>
      </c>
      <c r="E72" s="96">
        <v>72961.539999999994</v>
      </c>
      <c r="F72" s="96">
        <v>45813.06</v>
      </c>
      <c r="G72" s="96">
        <v>55993.74</v>
      </c>
      <c r="H72" s="96">
        <v>66174.42</v>
      </c>
      <c r="I72" s="96">
        <v>66174.42</v>
      </c>
      <c r="J72" s="96">
        <v>72961.539999999994</v>
      </c>
      <c r="K72" s="96">
        <v>67871.199999999997</v>
      </c>
      <c r="L72" s="96">
        <v>50903.4</v>
      </c>
      <c r="M72" s="96">
        <v>62780.86</v>
      </c>
      <c r="N72" s="96">
        <v>69567.98</v>
      </c>
      <c r="O72" s="109">
        <v>766944.55999999994</v>
      </c>
    </row>
    <row r="73" spans="1:15" x14ac:dyDescent="0.25">
      <c r="A73" s="239"/>
      <c r="B73" s="107" t="s">
        <v>87</v>
      </c>
      <c r="C73" s="108">
        <v>0</v>
      </c>
      <c r="D73" s="96">
        <v>0</v>
      </c>
      <c r="E73" s="96">
        <v>0</v>
      </c>
      <c r="F73" s="96">
        <v>0</v>
      </c>
      <c r="G73" s="96">
        <v>0</v>
      </c>
      <c r="H73" s="96">
        <v>0</v>
      </c>
      <c r="I73" s="96">
        <v>0</v>
      </c>
      <c r="J73" s="96">
        <v>0</v>
      </c>
      <c r="K73" s="96">
        <v>0</v>
      </c>
      <c r="L73" s="96">
        <v>0</v>
      </c>
      <c r="M73" s="96">
        <v>0</v>
      </c>
      <c r="N73" s="96">
        <v>0</v>
      </c>
      <c r="O73" s="109">
        <v>0</v>
      </c>
    </row>
    <row r="74" spans="1:15" x14ac:dyDescent="0.25">
      <c r="A74" s="239"/>
      <c r="B74" s="107" t="s">
        <v>89</v>
      </c>
      <c r="C74" s="108">
        <v>0</v>
      </c>
      <c r="D74" s="96">
        <v>0</v>
      </c>
      <c r="E74" s="96">
        <v>0</v>
      </c>
      <c r="F74" s="96">
        <v>0</v>
      </c>
      <c r="G74" s="96">
        <v>0</v>
      </c>
      <c r="H74" s="96">
        <v>0</v>
      </c>
      <c r="I74" s="96">
        <v>0</v>
      </c>
      <c r="J74" s="96">
        <v>0</v>
      </c>
      <c r="K74" s="96">
        <v>0</v>
      </c>
      <c r="L74" s="96">
        <v>0</v>
      </c>
      <c r="M74" s="96">
        <v>0</v>
      </c>
      <c r="N74" s="96">
        <v>0</v>
      </c>
      <c r="O74" s="109">
        <v>0</v>
      </c>
    </row>
    <row r="75" spans="1:15" x14ac:dyDescent="0.25">
      <c r="A75" s="97" t="s">
        <v>54</v>
      </c>
      <c r="B75" s="97" t="s">
        <v>70</v>
      </c>
      <c r="C75" s="104">
        <v>166435.56</v>
      </c>
      <c r="D75" s="105">
        <v>178764.12</v>
      </c>
      <c r="E75" s="105">
        <v>177223.05</v>
      </c>
      <c r="F75" s="105">
        <v>147942.72</v>
      </c>
      <c r="G75" s="105">
        <v>195715.88999999998</v>
      </c>
      <c r="H75" s="105">
        <v>220373.00999999998</v>
      </c>
      <c r="I75" s="105">
        <v>235783.71</v>
      </c>
      <c r="J75" s="105">
        <v>249653.34</v>
      </c>
      <c r="K75" s="105">
        <v>223455.15</v>
      </c>
      <c r="L75" s="105">
        <v>206503.38</v>
      </c>
      <c r="M75" s="105">
        <v>161812.35</v>
      </c>
      <c r="N75" s="105">
        <v>163353.41999999998</v>
      </c>
      <c r="O75" s="106">
        <v>2327015.6999999997</v>
      </c>
    </row>
    <row r="76" spans="1:15" x14ac:dyDescent="0.25">
      <c r="A76" s="239"/>
      <c r="B76" s="107" t="s">
        <v>25</v>
      </c>
      <c r="C76" s="108">
        <v>-16816.679999999993</v>
      </c>
      <c r="D76" s="96">
        <v>-18062.360000000015</v>
      </c>
      <c r="E76" s="96">
        <v>-17906.649999999994</v>
      </c>
      <c r="F76" s="96">
        <v>-14948.160000000003</v>
      </c>
      <c r="G76" s="96">
        <v>-19775.170000000013</v>
      </c>
      <c r="H76" s="96">
        <v>-22266.530000000028</v>
      </c>
      <c r="I76" s="96">
        <v>-23823.630000000005</v>
      </c>
      <c r="J76" s="96">
        <v>-25225.01999999999</v>
      </c>
      <c r="K76" s="96">
        <v>-22577.950000000012</v>
      </c>
      <c r="L76" s="96">
        <v>-20865.139999999985</v>
      </c>
      <c r="M76" s="96">
        <v>-16349.549999999988</v>
      </c>
      <c r="N76" s="96">
        <v>-16505.260000000009</v>
      </c>
      <c r="O76" s="109">
        <v>-235122.10000000003</v>
      </c>
    </row>
    <row r="77" spans="1:15" x14ac:dyDescent="0.25">
      <c r="A77" s="239"/>
      <c r="B77" s="107" t="s">
        <v>26</v>
      </c>
      <c r="C77" s="108">
        <v>-844.58095331066431</v>
      </c>
      <c r="D77" s="96">
        <v>-907.14250540775072</v>
      </c>
      <c r="E77" s="96">
        <v>-899.32231139561475</v>
      </c>
      <c r="F77" s="96">
        <v>-750.73862516503505</v>
      </c>
      <c r="G77" s="96">
        <v>-993.16463954124424</v>
      </c>
      <c r="H77" s="96">
        <v>-1118.2877437354168</v>
      </c>
      <c r="I77" s="96">
        <v>-1196.4896838567745</v>
      </c>
      <c r="J77" s="96">
        <v>-1266.8714299659966</v>
      </c>
      <c r="K77" s="96">
        <v>-1133.9281317596881</v>
      </c>
      <c r="L77" s="96">
        <v>-1047.9059976261947</v>
      </c>
      <c r="M77" s="96">
        <v>-821.12037127425697</v>
      </c>
      <c r="N77" s="96">
        <v>-828.94056528639283</v>
      </c>
      <c r="O77" s="109">
        <v>-11808.49295832503</v>
      </c>
    </row>
    <row r="78" spans="1:15" x14ac:dyDescent="0.25">
      <c r="A78" s="239"/>
      <c r="B78" s="107" t="s">
        <v>27</v>
      </c>
      <c r="C78" s="108">
        <v>-17661.260953310659</v>
      </c>
      <c r="D78" s="96">
        <v>-18969.502505407767</v>
      </c>
      <c r="E78" s="96">
        <v>-18805.97231139561</v>
      </c>
      <c r="F78" s="96">
        <v>-15698.898625165039</v>
      </c>
      <c r="G78" s="96">
        <v>-20768.334639541255</v>
      </c>
      <c r="H78" s="96">
        <v>-23384.817743735446</v>
      </c>
      <c r="I78" s="96">
        <v>-25020.119683856778</v>
      </c>
      <c r="J78" s="96">
        <v>-26491.891429965985</v>
      </c>
      <c r="K78" s="96">
        <v>-23711.878131759699</v>
      </c>
      <c r="L78" s="96">
        <v>-21913.045997626181</v>
      </c>
      <c r="M78" s="96">
        <v>-17170.670371274246</v>
      </c>
      <c r="N78" s="96">
        <v>-17334.200565286403</v>
      </c>
      <c r="O78" s="109">
        <v>-246930.59295832505</v>
      </c>
    </row>
    <row r="79" spans="1:15" x14ac:dyDescent="0.25">
      <c r="A79" s="239"/>
      <c r="B79" s="107" t="s">
        <v>49</v>
      </c>
      <c r="C79" s="108">
        <v>183252.24</v>
      </c>
      <c r="D79" s="96">
        <v>196826.48</v>
      </c>
      <c r="E79" s="96">
        <v>195129.69999999998</v>
      </c>
      <c r="F79" s="96">
        <v>162890.88</v>
      </c>
      <c r="G79" s="96">
        <v>215491.06</v>
      </c>
      <c r="H79" s="96">
        <v>242639.54</v>
      </c>
      <c r="I79" s="96">
        <v>259607.34</v>
      </c>
      <c r="J79" s="96">
        <v>274878.36</v>
      </c>
      <c r="K79" s="96">
        <v>246033.1</v>
      </c>
      <c r="L79" s="96">
        <v>227368.52</v>
      </c>
      <c r="M79" s="96">
        <v>178161.9</v>
      </c>
      <c r="N79" s="96">
        <v>179858.68</v>
      </c>
      <c r="O79" s="109">
        <v>2562137.8000000003</v>
      </c>
    </row>
    <row r="80" spans="1:15" x14ac:dyDescent="0.25">
      <c r="A80" s="239"/>
      <c r="B80" s="107" t="s">
        <v>87</v>
      </c>
      <c r="C80" s="108">
        <v>0</v>
      </c>
      <c r="D80" s="96">
        <v>0</v>
      </c>
      <c r="E80" s="96">
        <v>0</v>
      </c>
      <c r="F80" s="96">
        <v>0</v>
      </c>
      <c r="G80" s="96">
        <v>0</v>
      </c>
      <c r="H80" s="96">
        <v>0</v>
      </c>
      <c r="I80" s="96">
        <v>0</v>
      </c>
      <c r="J80" s="96">
        <v>0</v>
      </c>
      <c r="K80" s="96">
        <v>0</v>
      </c>
      <c r="L80" s="96">
        <v>0</v>
      </c>
      <c r="M80" s="96">
        <v>0</v>
      </c>
      <c r="N80" s="96">
        <v>0</v>
      </c>
      <c r="O80" s="109">
        <v>0</v>
      </c>
    </row>
    <row r="81" spans="1:15" x14ac:dyDescent="0.25">
      <c r="A81" s="239"/>
      <c r="B81" s="107" t="s">
        <v>89</v>
      </c>
      <c r="C81" s="108">
        <v>0</v>
      </c>
      <c r="D81" s="96">
        <v>0</v>
      </c>
      <c r="E81" s="96">
        <v>0</v>
      </c>
      <c r="F81" s="96">
        <v>0</v>
      </c>
      <c r="G81" s="96">
        <v>0</v>
      </c>
      <c r="H81" s="96">
        <v>0</v>
      </c>
      <c r="I81" s="96">
        <v>0</v>
      </c>
      <c r="J81" s="96">
        <v>0</v>
      </c>
      <c r="K81" s="96">
        <v>0</v>
      </c>
      <c r="L81" s="96">
        <v>0</v>
      </c>
      <c r="M81" s="96">
        <v>0</v>
      </c>
      <c r="N81" s="96">
        <v>0</v>
      </c>
      <c r="O81" s="109">
        <v>0</v>
      </c>
    </row>
    <row r="82" spans="1:15" x14ac:dyDescent="0.25">
      <c r="A82" s="97" t="s">
        <v>55</v>
      </c>
      <c r="B82" s="97" t="s">
        <v>70</v>
      </c>
      <c r="C82" s="104">
        <v>16951.77</v>
      </c>
      <c r="D82" s="105">
        <v>13869.63</v>
      </c>
      <c r="E82" s="105">
        <v>18492.84</v>
      </c>
      <c r="F82" s="105">
        <v>15410.699999999999</v>
      </c>
      <c r="G82" s="105">
        <v>20033.91</v>
      </c>
      <c r="H82" s="105">
        <v>18492.84</v>
      </c>
      <c r="I82" s="105">
        <v>21574.98</v>
      </c>
      <c r="J82" s="105">
        <v>24657.119999999999</v>
      </c>
      <c r="K82" s="105">
        <v>20033.91</v>
      </c>
      <c r="L82" s="105">
        <v>18492.84</v>
      </c>
      <c r="M82" s="105">
        <v>13869.63</v>
      </c>
      <c r="N82" s="105">
        <v>15410.699999999999</v>
      </c>
      <c r="O82" s="106">
        <v>217290.87000000002</v>
      </c>
    </row>
    <row r="83" spans="1:15" x14ac:dyDescent="0.25">
      <c r="A83" s="239"/>
      <c r="B83" s="107" t="s">
        <v>25</v>
      </c>
      <c r="C83" s="108">
        <v>-1712.8099999999977</v>
      </c>
      <c r="D83" s="96">
        <v>-1401.3900000000012</v>
      </c>
      <c r="E83" s="96">
        <v>-1868.5200000000004</v>
      </c>
      <c r="F83" s="96">
        <v>-1557.1000000000004</v>
      </c>
      <c r="G83" s="96">
        <v>-2024.2299999999996</v>
      </c>
      <c r="H83" s="96">
        <v>-1868.5200000000004</v>
      </c>
      <c r="I83" s="96">
        <v>-2179.9399999999987</v>
      </c>
      <c r="J83" s="96">
        <v>-2491.3600000000006</v>
      </c>
      <c r="K83" s="96">
        <v>-2024.2299999999996</v>
      </c>
      <c r="L83" s="96">
        <v>-1868.5200000000004</v>
      </c>
      <c r="M83" s="96">
        <v>-1401.3900000000012</v>
      </c>
      <c r="N83" s="96">
        <v>-1557.1000000000004</v>
      </c>
      <c r="O83" s="109">
        <v>-21955.11</v>
      </c>
    </row>
    <row r="84" spans="1:15" x14ac:dyDescent="0.25">
      <c r="A84" s="239"/>
      <c r="B84" s="107" t="s">
        <v>26</v>
      </c>
      <c r="C84" s="108">
        <v>-86.022134133493594</v>
      </c>
      <c r="D84" s="96">
        <v>-70.381746109222036</v>
      </c>
      <c r="E84" s="96">
        <v>-93.842328145629381</v>
      </c>
      <c r="F84" s="96">
        <v>-78.201940121357808</v>
      </c>
      <c r="G84" s="96">
        <v>-101.66252215776515</v>
      </c>
      <c r="H84" s="96">
        <v>-93.842328145629381</v>
      </c>
      <c r="I84" s="96">
        <v>-109.48271616990095</v>
      </c>
      <c r="J84" s="96">
        <v>-125.1231041941725</v>
      </c>
      <c r="K84" s="96">
        <v>-101.66252215776515</v>
      </c>
      <c r="L84" s="96">
        <v>-93.842328145629381</v>
      </c>
      <c r="M84" s="96">
        <v>-70.381746109222036</v>
      </c>
      <c r="N84" s="96">
        <v>-78.201940121357808</v>
      </c>
      <c r="O84" s="109">
        <v>-1102.6473557111453</v>
      </c>
    </row>
    <row r="85" spans="1:15" x14ac:dyDescent="0.25">
      <c r="A85" s="239"/>
      <c r="B85" s="107" t="s">
        <v>27</v>
      </c>
      <c r="C85" s="108">
        <v>-1798.8321341334913</v>
      </c>
      <c r="D85" s="96">
        <v>-1471.7717461092234</v>
      </c>
      <c r="E85" s="96">
        <v>-1962.3623281456298</v>
      </c>
      <c r="F85" s="96">
        <v>-1635.3019401213583</v>
      </c>
      <c r="G85" s="96">
        <v>-2125.8925221577647</v>
      </c>
      <c r="H85" s="96">
        <v>-1962.3623281456298</v>
      </c>
      <c r="I85" s="96">
        <v>-2289.4227161698996</v>
      </c>
      <c r="J85" s="96">
        <v>-2616.4831041941729</v>
      </c>
      <c r="K85" s="96">
        <v>-2125.8925221577647</v>
      </c>
      <c r="L85" s="96">
        <v>-1962.3623281456298</v>
      </c>
      <c r="M85" s="96">
        <v>-1471.7717461092234</v>
      </c>
      <c r="N85" s="96">
        <v>-1635.3019401213583</v>
      </c>
      <c r="O85" s="109">
        <v>-23057.75735571115</v>
      </c>
    </row>
    <row r="86" spans="1:15" x14ac:dyDescent="0.25">
      <c r="A86" s="239"/>
      <c r="B86" s="107" t="s">
        <v>49</v>
      </c>
      <c r="C86" s="108">
        <v>18664.579999999998</v>
      </c>
      <c r="D86" s="96">
        <v>15271.02</v>
      </c>
      <c r="E86" s="96">
        <v>20361.36</v>
      </c>
      <c r="F86" s="96">
        <v>16967.8</v>
      </c>
      <c r="G86" s="96">
        <v>22058.14</v>
      </c>
      <c r="H86" s="96">
        <v>20361.36</v>
      </c>
      <c r="I86" s="96">
        <v>23754.92</v>
      </c>
      <c r="J86" s="96">
        <v>27148.48</v>
      </c>
      <c r="K86" s="96">
        <v>22058.14</v>
      </c>
      <c r="L86" s="96">
        <v>20361.36</v>
      </c>
      <c r="M86" s="96">
        <v>15271.02</v>
      </c>
      <c r="N86" s="96">
        <v>16967.8</v>
      </c>
      <c r="O86" s="109">
        <v>239245.97999999995</v>
      </c>
    </row>
    <row r="87" spans="1:15" x14ac:dyDescent="0.25">
      <c r="A87" s="239"/>
      <c r="B87" s="107" t="s">
        <v>87</v>
      </c>
      <c r="C87" s="108">
        <v>0</v>
      </c>
      <c r="D87" s="96">
        <v>0</v>
      </c>
      <c r="E87" s="96">
        <v>0</v>
      </c>
      <c r="F87" s="96">
        <v>0</v>
      </c>
      <c r="G87" s="96">
        <v>0</v>
      </c>
      <c r="H87" s="96">
        <v>0</v>
      </c>
      <c r="I87" s="96">
        <v>0</v>
      </c>
      <c r="J87" s="96">
        <v>0</v>
      </c>
      <c r="K87" s="96">
        <v>0</v>
      </c>
      <c r="L87" s="96">
        <v>0</v>
      </c>
      <c r="M87" s="96">
        <v>0</v>
      </c>
      <c r="N87" s="96">
        <v>0</v>
      </c>
      <c r="O87" s="109">
        <v>0</v>
      </c>
    </row>
    <row r="88" spans="1:15" x14ac:dyDescent="0.25">
      <c r="A88" s="239"/>
      <c r="B88" s="107" t="s">
        <v>89</v>
      </c>
      <c r="C88" s="108">
        <v>0</v>
      </c>
      <c r="D88" s="96">
        <v>0</v>
      </c>
      <c r="E88" s="96">
        <v>0</v>
      </c>
      <c r="F88" s="96">
        <v>0</v>
      </c>
      <c r="G88" s="96">
        <v>0</v>
      </c>
      <c r="H88" s="96">
        <v>0</v>
      </c>
      <c r="I88" s="96">
        <v>0</v>
      </c>
      <c r="J88" s="96">
        <v>0</v>
      </c>
      <c r="K88" s="96">
        <v>0</v>
      </c>
      <c r="L88" s="96">
        <v>0</v>
      </c>
      <c r="M88" s="96">
        <v>0</v>
      </c>
      <c r="N88" s="96">
        <v>0</v>
      </c>
      <c r="O88" s="109">
        <v>0</v>
      </c>
    </row>
    <row r="89" spans="1:15" x14ac:dyDescent="0.25">
      <c r="A89" s="97" t="s">
        <v>56</v>
      </c>
      <c r="B89" s="97" t="s">
        <v>70</v>
      </c>
      <c r="C89" s="104">
        <v>33903.54</v>
      </c>
      <c r="D89" s="105">
        <v>30821.399999999998</v>
      </c>
      <c r="E89" s="105">
        <v>32362.469999999998</v>
      </c>
      <c r="F89" s="105">
        <v>32362.469999999998</v>
      </c>
      <c r="G89" s="105">
        <v>46232.1</v>
      </c>
      <c r="H89" s="105">
        <v>49314.239999999998</v>
      </c>
      <c r="I89" s="105">
        <v>50855.31</v>
      </c>
      <c r="J89" s="105">
        <v>55478.52</v>
      </c>
      <c r="K89" s="105">
        <v>52396.38</v>
      </c>
      <c r="L89" s="105">
        <v>52396.38</v>
      </c>
      <c r="M89" s="105">
        <v>32362.469999999998</v>
      </c>
      <c r="N89" s="105">
        <v>32362.469999999998</v>
      </c>
      <c r="O89" s="106">
        <v>500847.75</v>
      </c>
    </row>
    <row r="90" spans="1:15" x14ac:dyDescent="0.25">
      <c r="A90" s="239"/>
      <c r="B90" s="107" t="s">
        <v>25</v>
      </c>
      <c r="C90" s="108">
        <v>-3425.6199999999953</v>
      </c>
      <c r="D90" s="96">
        <v>-3114.2000000000007</v>
      </c>
      <c r="E90" s="96">
        <v>-3269.91</v>
      </c>
      <c r="F90" s="96">
        <v>-3269.91</v>
      </c>
      <c r="G90" s="96">
        <v>-4671.3000000000029</v>
      </c>
      <c r="H90" s="96">
        <v>-4982.7200000000012</v>
      </c>
      <c r="I90" s="96">
        <v>-5138.43</v>
      </c>
      <c r="J90" s="96">
        <v>-5605.5600000000049</v>
      </c>
      <c r="K90" s="96">
        <v>-5294.1399999999994</v>
      </c>
      <c r="L90" s="96">
        <v>-5294.1399999999994</v>
      </c>
      <c r="M90" s="96">
        <v>-3269.91</v>
      </c>
      <c r="N90" s="96">
        <v>-3269.91</v>
      </c>
      <c r="O90" s="109">
        <v>-50605.750000000015</v>
      </c>
    </row>
    <row r="91" spans="1:15" x14ac:dyDescent="0.25">
      <c r="A91" s="239"/>
      <c r="B91" s="107" t="s">
        <v>26</v>
      </c>
      <c r="C91" s="108">
        <v>-172.04426826698719</v>
      </c>
      <c r="D91" s="96">
        <v>-156.40388024271562</v>
      </c>
      <c r="E91" s="96">
        <v>-164.22407425485139</v>
      </c>
      <c r="F91" s="96">
        <v>-164.22407425485139</v>
      </c>
      <c r="G91" s="96">
        <v>-234.60582036407345</v>
      </c>
      <c r="H91" s="96">
        <v>-250.246208388345</v>
      </c>
      <c r="I91" s="96">
        <v>-258.0664024004808</v>
      </c>
      <c r="J91" s="96">
        <v>-281.52698443688814</v>
      </c>
      <c r="K91" s="96">
        <v>-265.8865964126166</v>
      </c>
      <c r="L91" s="96">
        <v>-265.8865964126166</v>
      </c>
      <c r="M91" s="96">
        <v>-164.22407425485139</v>
      </c>
      <c r="N91" s="96">
        <v>-164.22407425485139</v>
      </c>
      <c r="O91" s="109">
        <v>-2541.5630539441295</v>
      </c>
    </row>
    <row r="92" spans="1:15" x14ac:dyDescent="0.25">
      <c r="A92" s="239"/>
      <c r="B92" s="107" t="s">
        <v>27</v>
      </c>
      <c r="C92" s="108">
        <v>-3597.6642682669826</v>
      </c>
      <c r="D92" s="96">
        <v>-3270.6038802427165</v>
      </c>
      <c r="E92" s="96">
        <v>-3434.1340742548514</v>
      </c>
      <c r="F92" s="96">
        <v>-3434.1340742548514</v>
      </c>
      <c r="G92" s="96">
        <v>-4905.9058203640761</v>
      </c>
      <c r="H92" s="96">
        <v>-5232.9662083883459</v>
      </c>
      <c r="I92" s="96">
        <v>-5396.4964024004812</v>
      </c>
      <c r="J92" s="96">
        <v>-5887.0869844368935</v>
      </c>
      <c r="K92" s="96">
        <v>-5560.0265964126156</v>
      </c>
      <c r="L92" s="96">
        <v>-5560.0265964126156</v>
      </c>
      <c r="M92" s="96">
        <v>-3434.1340742548514</v>
      </c>
      <c r="N92" s="96">
        <v>-3434.1340742548514</v>
      </c>
      <c r="O92" s="109">
        <v>-53147.313053944126</v>
      </c>
    </row>
    <row r="93" spans="1:15" x14ac:dyDescent="0.25">
      <c r="A93" s="239"/>
      <c r="B93" s="107" t="s">
        <v>49</v>
      </c>
      <c r="C93" s="108">
        <v>37329.159999999996</v>
      </c>
      <c r="D93" s="96">
        <v>33935.599999999999</v>
      </c>
      <c r="E93" s="96">
        <v>35632.379999999997</v>
      </c>
      <c r="F93" s="96">
        <v>35632.379999999997</v>
      </c>
      <c r="G93" s="96">
        <v>50903.4</v>
      </c>
      <c r="H93" s="96">
        <v>54296.959999999999</v>
      </c>
      <c r="I93" s="96">
        <v>55993.74</v>
      </c>
      <c r="J93" s="96">
        <v>61084.08</v>
      </c>
      <c r="K93" s="96">
        <v>57690.52</v>
      </c>
      <c r="L93" s="96">
        <v>57690.52</v>
      </c>
      <c r="M93" s="96">
        <v>35632.379999999997</v>
      </c>
      <c r="N93" s="96">
        <v>35632.379999999997</v>
      </c>
      <c r="O93" s="109">
        <v>551453.5</v>
      </c>
    </row>
    <row r="94" spans="1:15" x14ac:dyDescent="0.25">
      <c r="A94" s="239"/>
      <c r="B94" s="107" t="s">
        <v>87</v>
      </c>
      <c r="C94" s="108">
        <v>0</v>
      </c>
      <c r="D94" s="96">
        <v>0</v>
      </c>
      <c r="E94" s="96">
        <v>0</v>
      </c>
      <c r="F94" s="96">
        <v>0</v>
      </c>
      <c r="G94" s="96">
        <v>0</v>
      </c>
      <c r="H94" s="96">
        <v>0</v>
      </c>
      <c r="I94" s="96">
        <v>0</v>
      </c>
      <c r="J94" s="96">
        <v>0</v>
      </c>
      <c r="K94" s="96">
        <v>0</v>
      </c>
      <c r="L94" s="96">
        <v>0</v>
      </c>
      <c r="M94" s="96">
        <v>0</v>
      </c>
      <c r="N94" s="96">
        <v>0</v>
      </c>
      <c r="O94" s="109">
        <v>0</v>
      </c>
    </row>
    <row r="95" spans="1:15" x14ac:dyDescent="0.25">
      <c r="A95" s="239"/>
      <c r="B95" s="107" t="s">
        <v>89</v>
      </c>
      <c r="C95" s="108">
        <v>0</v>
      </c>
      <c r="D95" s="96">
        <v>0</v>
      </c>
      <c r="E95" s="96">
        <v>0</v>
      </c>
      <c r="F95" s="96">
        <v>0</v>
      </c>
      <c r="G95" s="96">
        <v>0</v>
      </c>
      <c r="H95" s="96">
        <v>0</v>
      </c>
      <c r="I95" s="96">
        <v>0</v>
      </c>
      <c r="J95" s="96">
        <v>0</v>
      </c>
      <c r="K95" s="96">
        <v>0</v>
      </c>
      <c r="L95" s="96">
        <v>0</v>
      </c>
      <c r="M95" s="96">
        <v>0</v>
      </c>
      <c r="N95" s="96">
        <v>0</v>
      </c>
      <c r="O95" s="109">
        <v>0</v>
      </c>
    </row>
    <row r="96" spans="1:15" x14ac:dyDescent="0.25">
      <c r="A96" s="97" t="s">
        <v>57</v>
      </c>
      <c r="B96" s="97" t="s">
        <v>70</v>
      </c>
      <c r="C96" s="104">
        <v>66266.009999999995</v>
      </c>
      <c r="D96" s="105">
        <v>64724.939999999995</v>
      </c>
      <c r="E96" s="105">
        <v>64724.939999999995</v>
      </c>
      <c r="F96" s="105">
        <v>60101.729999999996</v>
      </c>
      <c r="G96" s="105">
        <v>75512.429999999993</v>
      </c>
      <c r="H96" s="105">
        <v>80135.64</v>
      </c>
      <c r="I96" s="105">
        <v>81676.709999999992</v>
      </c>
      <c r="J96" s="105">
        <v>81676.709999999992</v>
      </c>
      <c r="K96" s="105">
        <v>75512.429999999993</v>
      </c>
      <c r="L96" s="105">
        <v>75512.429999999993</v>
      </c>
      <c r="M96" s="105">
        <v>53937.45</v>
      </c>
      <c r="N96" s="105">
        <v>53937.45</v>
      </c>
      <c r="O96" s="106">
        <v>833718.86999999988</v>
      </c>
    </row>
    <row r="97" spans="1:15" x14ac:dyDescent="0.25">
      <c r="A97" s="239"/>
      <c r="B97" s="107" t="s">
        <v>25</v>
      </c>
      <c r="C97" s="108">
        <v>-6695.5299999999988</v>
      </c>
      <c r="D97" s="96">
        <v>-6539.82</v>
      </c>
      <c r="E97" s="96">
        <v>-6539.82</v>
      </c>
      <c r="F97" s="96">
        <v>-6072.6900000000023</v>
      </c>
      <c r="G97" s="96">
        <v>-7629.7900000000081</v>
      </c>
      <c r="H97" s="96">
        <v>-8096.9199999999983</v>
      </c>
      <c r="I97" s="96">
        <v>-8252.6300000000047</v>
      </c>
      <c r="J97" s="96">
        <v>-8252.6300000000047</v>
      </c>
      <c r="K97" s="96">
        <v>-7629.7900000000081</v>
      </c>
      <c r="L97" s="96">
        <v>-7629.7900000000081</v>
      </c>
      <c r="M97" s="96">
        <v>-5449.8499999999985</v>
      </c>
      <c r="N97" s="96">
        <v>-5449.8499999999985</v>
      </c>
      <c r="O97" s="109">
        <v>-84239.110000000044</v>
      </c>
    </row>
    <row r="98" spans="1:15" x14ac:dyDescent="0.25">
      <c r="A98" s="239"/>
      <c r="B98" s="107" t="s">
        <v>26</v>
      </c>
      <c r="C98" s="108">
        <v>-336.26834252183863</v>
      </c>
      <c r="D98" s="96">
        <v>-328.44814850970278</v>
      </c>
      <c r="E98" s="96">
        <v>-328.44814850970278</v>
      </c>
      <c r="F98" s="96">
        <v>-304.98756647329549</v>
      </c>
      <c r="G98" s="96">
        <v>-383.18950659465327</v>
      </c>
      <c r="H98" s="96">
        <v>-406.65008863106061</v>
      </c>
      <c r="I98" s="96">
        <v>-414.47028264319641</v>
      </c>
      <c r="J98" s="96">
        <v>-414.47028264319641</v>
      </c>
      <c r="K98" s="96">
        <v>-383.18950659465327</v>
      </c>
      <c r="L98" s="96">
        <v>-383.18950659465327</v>
      </c>
      <c r="M98" s="96">
        <v>-273.70679042475234</v>
      </c>
      <c r="N98" s="96">
        <v>-273.70679042475234</v>
      </c>
      <c r="O98" s="109">
        <v>-4230.724960565457</v>
      </c>
    </row>
    <row r="99" spans="1:15" x14ac:dyDescent="0.25">
      <c r="A99" s="239"/>
      <c r="B99" s="107" t="s">
        <v>27</v>
      </c>
      <c r="C99" s="108">
        <v>-7031.7983425218372</v>
      </c>
      <c r="D99" s="96">
        <v>-6868.2681485097028</v>
      </c>
      <c r="E99" s="96">
        <v>-6868.2681485097028</v>
      </c>
      <c r="F99" s="96">
        <v>-6377.6775664732977</v>
      </c>
      <c r="G99" s="96">
        <v>-8012.9795065946619</v>
      </c>
      <c r="H99" s="96">
        <v>-8503.5700886310588</v>
      </c>
      <c r="I99" s="96">
        <v>-8667.1002826432014</v>
      </c>
      <c r="J99" s="96">
        <v>-8667.1002826432014</v>
      </c>
      <c r="K99" s="96">
        <v>-8012.9795065946619</v>
      </c>
      <c r="L99" s="96">
        <v>-8012.9795065946619</v>
      </c>
      <c r="M99" s="96">
        <v>-5723.5567904247509</v>
      </c>
      <c r="N99" s="96">
        <v>-5723.5567904247509</v>
      </c>
      <c r="O99" s="109">
        <v>-88469.834960565495</v>
      </c>
    </row>
    <row r="100" spans="1:15" x14ac:dyDescent="0.25">
      <c r="A100" s="239"/>
      <c r="B100" s="107" t="s">
        <v>49</v>
      </c>
      <c r="C100" s="108">
        <v>72961.539999999994</v>
      </c>
      <c r="D100" s="96">
        <v>71264.759999999995</v>
      </c>
      <c r="E100" s="96">
        <v>71264.759999999995</v>
      </c>
      <c r="F100" s="96">
        <v>66174.42</v>
      </c>
      <c r="G100" s="96">
        <v>83142.22</v>
      </c>
      <c r="H100" s="96">
        <v>88232.56</v>
      </c>
      <c r="I100" s="96">
        <v>89929.34</v>
      </c>
      <c r="J100" s="96">
        <v>89929.34</v>
      </c>
      <c r="K100" s="96">
        <v>83142.22</v>
      </c>
      <c r="L100" s="96">
        <v>83142.22</v>
      </c>
      <c r="M100" s="96">
        <v>59387.299999999996</v>
      </c>
      <c r="N100" s="96">
        <v>59387.299999999996</v>
      </c>
      <c r="O100" s="109">
        <v>917957.98</v>
      </c>
    </row>
    <row r="101" spans="1:15" x14ac:dyDescent="0.25">
      <c r="A101" s="239"/>
      <c r="B101" s="107" t="s">
        <v>87</v>
      </c>
      <c r="C101" s="108">
        <v>0</v>
      </c>
      <c r="D101" s="96">
        <v>0</v>
      </c>
      <c r="E101" s="96">
        <v>0</v>
      </c>
      <c r="F101" s="96">
        <v>0</v>
      </c>
      <c r="G101" s="96">
        <v>0</v>
      </c>
      <c r="H101" s="96">
        <v>0</v>
      </c>
      <c r="I101" s="96">
        <v>0</v>
      </c>
      <c r="J101" s="96">
        <v>0</v>
      </c>
      <c r="K101" s="96">
        <v>0</v>
      </c>
      <c r="L101" s="96">
        <v>0</v>
      </c>
      <c r="M101" s="96">
        <v>0</v>
      </c>
      <c r="N101" s="96">
        <v>0</v>
      </c>
      <c r="O101" s="109">
        <v>0</v>
      </c>
    </row>
    <row r="102" spans="1:15" x14ac:dyDescent="0.25">
      <c r="A102" s="239"/>
      <c r="B102" s="107" t="s">
        <v>89</v>
      </c>
      <c r="C102" s="108">
        <v>0</v>
      </c>
      <c r="D102" s="96">
        <v>0</v>
      </c>
      <c r="E102" s="96">
        <v>0</v>
      </c>
      <c r="F102" s="96">
        <v>0</v>
      </c>
      <c r="G102" s="96">
        <v>0</v>
      </c>
      <c r="H102" s="96">
        <v>0</v>
      </c>
      <c r="I102" s="96">
        <v>0</v>
      </c>
      <c r="J102" s="96">
        <v>0</v>
      </c>
      <c r="K102" s="96">
        <v>0</v>
      </c>
      <c r="L102" s="96">
        <v>0</v>
      </c>
      <c r="M102" s="96">
        <v>0</v>
      </c>
      <c r="N102" s="96">
        <v>0</v>
      </c>
      <c r="O102" s="109">
        <v>0</v>
      </c>
    </row>
    <row r="103" spans="1:15" x14ac:dyDescent="0.25">
      <c r="A103" s="97" t="s">
        <v>81</v>
      </c>
      <c r="B103" s="97" t="s">
        <v>70</v>
      </c>
      <c r="C103" s="104">
        <v>241947.99</v>
      </c>
      <c r="D103" s="105">
        <v>212667.66</v>
      </c>
      <c r="E103" s="105">
        <v>235783.71</v>
      </c>
      <c r="F103" s="105">
        <v>130990.95</v>
      </c>
      <c r="G103" s="105">
        <v>177223.05</v>
      </c>
      <c r="H103" s="105">
        <v>183387.33</v>
      </c>
      <c r="I103" s="105">
        <v>209585.52</v>
      </c>
      <c r="J103" s="105">
        <v>217290.87</v>
      </c>
      <c r="K103" s="105">
        <v>211126.59</v>
      </c>
      <c r="L103" s="105">
        <v>192633.75</v>
      </c>
      <c r="M103" s="105">
        <v>241947.99</v>
      </c>
      <c r="N103" s="105">
        <v>234242.63999999998</v>
      </c>
      <c r="O103" s="106">
        <v>2488828.0500000003</v>
      </c>
    </row>
    <row r="104" spans="1:15" x14ac:dyDescent="0.25">
      <c r="A104" s="239"/>
      <c r="B104" s="107" t="s">
        <v>25</v>
      </c>
      <c r="C104" s="108">
        <v>-24446.47000000003</v>
      </c>
      <c r="D104" s="96">
        <v>-21487.979999999981</v>
      </c>
      <c r="E104" s="96">
        <v>-23823.630000000005</v>
      </c>
      <c r="F104" s="96">
        <v>-13235.349999999991</v>
      </c>
      <c r="G104" s="96">
        <v>-17906.649999999994</v>
      </c>
      <c r="H104" s="96">
        <v>-18529.49000000002</v>
      </c>
      <c r="I104" s="96">
        <v>-21176.559999999998</v>
      </c>
      <c r="J104" s="96">
        <v>-21955.110000000015</v>
      </c>
      <c r="K104" s="96">
        <v>-21332.26999999999</v>
      </c>
      <c r="L104" s="96">
        <v>-19463.75</v>
      </c>
      <c r="M104" s="96">
        <v>-24446.47000000003</v>
      </c>
      <c r="N104" s="96">
        <v>-23667.920000000013</v>
      </c>
      <c r="O104" s="109">
        <v>-251471.65000000005</v>
      </c>
    </row>
    <row r="105" spans="1:15" x14ac:dyDescent="0.25">
      <c r="A105" s="239"/>
      <c r="B105" s="107" t="s">
        <v>26</v>
      </c>
      <c r="C105" s="108">
        <v>-1227.7704599053177</v>
      </c>
      <c r="D105" s="96">
        <v>-1079.1867736747377</v>
      </c>
      <c r="E105" s="96">
        <v>-1196.4896838567745</v>
      </c>
      <c r="F105" s="96">
        <v>-664.71649103154141</v>
      </c>
      <c r="G105" s="96">
        <v>-899.32231139561475</v>
      </c>
      <c r="H105" s="96">
        <v>-930.60308744415806</v>
      </c>
      <c r="I105" s="96">
        <v>-1063.5463856504664</v>
      </c>
      <c r="J105" s="96">
        <v>-1102.6473557111451</v>
      </c>
      <c r="K105" s="96">
        <v>-1071.3665796626019</v>
      </c>
      <c r="L105" s="96">
        <v>-977.52425151697253</v>
      </c>
      <c r="M105" s="96">
        <v>-1227.7704599053177</v>
      </c>
      <c r="N105" s="96">
        <v>-1188.6694898446387</v>
      </c>
      <c r="O105" s="109">
        <v>-12629.613329599286</v>
      </c>
    </row>
    <row r="106" spans="1:15" x14ac:dyDescent="0.25">
      <c r="A106" s="239"/>
      <c r="B106" s="107" t="s">
        <v>27</v>
      </c>
      <c r="C106" s="108">
        <v>-25674.240459905348</v>
      </c>
      <c r="D106" s="96">
        <v>-22567.166773674719</v>
      </c>
      <c r="E106" s="96">
        <v>-25020.119683856778</v>
      </c>
      <c r="F106" s="96">
        <v>-13900.066491031532</v>
      </c>
      <c r="G106" s="96">
        <v>-18805.97231139561</v>
      </c>
      <c r="H106" s="96">
        <v>-19460.093087444176</v>
      </c>
      <c r="I106" s="96">
        <v>-22240.106385650462</v>
      </c>
      <c r="J106" s="96">
        <v>-23057.757355711161</v>
      </c>
      <c r="K106" s="96">
        <v>-22403.636579662591</v>
      </c>
      <c r="L106" s="96">
        <v>-20441.274251516974</v>
      </c>
      <c r="M106" s="96">
        <v>-25674.240459905348</v>
      </c>
      <c r="N106" s="96">
        <v>-24856.589489844653</v>
      </c>
      <c r="O106" s="109">
        <v>-264101.26332959934</v>
      </c>
    </row>
    <row r="107" spans="1:15" x14ac:dyDescent="0.25">
      <c r="A107" s="239"/>
      <c r="B107" s="107" t="s">
        <v>49</v>
      </c>
      <c r="C107" s="108">
        <v>266394.46000000002</v>
      </c>
      <c r="D107" s="96">
        <v>234155.63999999998</v>
      </c>
      <c r="E107" s="96">
        <v>259607.34</v>
      </c>
      <c r="F107" s="96">
        <v>144226.29999999999</v>
      </c>
      <c r="G107" s="96">
        <v>195129.69999999998</v>
      </c>
      <c r="H107" s="96">
        <v>201916.82</v>
      </c>
      <c r="I107" s="96">
        <v>230762.08</v>
      </c>
      <c r="J107" s="96">
        <v>239245.98</v>
      </c>
      <c r="K107" s="96">
        <v>232458.86</v>
      </c>
      <c r="L107" s="96">
        <v>212097.5</v>
      </c>
      <c r="M107" s="96">
        <v>266394.46000000002</v>
      </c>
      <c r="N107" s="96">
        <v>257910.56</v>
      </c>
      <c r="O107" s="109">
        <v>2740299.7</v>
      </c>
    </row>
    <row r="108" spans="1:15" x14ac:dyDescent="0.25">
      <c r="A108" s="239"/>
      <c r="B108" s="107" t="s">
        <v>87</v>
      </c>
      <c r="C108" s="108">
        <v>0</v>
      </c>
      <c r="D108" s="96">
        <v>0</v>
      </c>
      <c r="E108" s="96">
        <v>0</v>
      </c>
      <c r="F108" s="96">
        <v>0</v>
      </c>
      <c r="G108" s="96">
        <v>0</v>
      </c>
      <c r="H108" s="96">
        <v>0</v>
      </c>
      <c r="I108" s="96">
        <v>0</v>
      </c>
      <c r="J108" s="96">
        <v>0</v>
      </c>
      <c r="K108" s="96">
        <v>0</v>
      </c>
      <c r="L108" s="96">
        <v>0</v>
      </c>
      <c r="M108" s="96">
        <v>0</v>
      </c>
      <c r="N108" s="96">
        <v>0</v>
      </c>
      <c r="O108" s="109">
        <v>0</v>
      </c>
    </row>
    <row r="109" spans="1:15" x14ac:dyDescent="0.25">
      <c r="A109" s="239"/>
      <c r="B109" s="107" t="s">
        <v>89</v>
      </c>
      <c r="C109" s="108">
        <v>0</v>
      </c>
      <c r="D109" s="96">
        <v>0</v>
      </c>
      <c r="E109" s="96">
        <v>0</v>
      </c>
      <c r="F109" s="96">
        <v>0</v>
      </c>
      <c r="G109" s="96">
        <v>0</v>
      </c>
      <c r="H109" s="96">
        <v>0</v>
      </c>
      <c r="I109" s="96">
        <v>0</v>
      </c>
      <c r="J109" s="96">
        <v>0</v>
      </c>
      <c r="K109" s="96">
        <v>0</v>
      </c>
      <c r="L109" s="96">
        <v>0</v>
      </c>
      <c r="M109" s="96">
        <v>0</v>
      </c>
      <c r="N109" s="96">
        <v>0</v>
      </c>
      <c r="O109" s="109">
        <v>0</v>
      </c>
    </row>
    <row r="110" spans="1:15" x14ac:dyDescent="0.25">
      <c r="A110" s="97" t="s">
        <v>83</v>
      </c>
      <c r="B110" s="97" t="s">
        <v>70</v>
      </c>
      <c r="C110" s="104">
        <v>58560.659999999996</v>
      </c>
      <c r="D110" s="105">
        <v>66266.009999999995</v>
      </c>
      <c r="E110" s="105">
        <v>69348.149999999994</v>
      </c>
      <c r="F110" s="105">
        <v>33903.54</v>
      </c>
      <c r="G110" s="105">
        <v>47773.17</v>
      </c>
      <c r="H110" s="105">
        <v>67807.08</v>
      </c>
      <c r="I110" s="105">
        <v>72430.289999999994</v>
      </c>
      <c r="J110" s="105">
        <v>77053.5</v>
      </c>
      <c r="K110" s="105">
        <v>69348.149999999994</v>
      </c>
      <c r="L110" s="105">
        <v>57019.59</v>
      </c>
      <c r="M110" s="105">
        <v>58560.659999999996</v>
      </c>
      <c r="N110" s="105">
        <v>58560.659999999996</v>
      </c>
      <c r="O110" s="106">
        <v>736631.46</v>
      </c>
    </row>
    <row r="111" spans="1:15" x14ac:dyDescent="0.25">
      <c r="A111" s="239"/>
      <c r="B111" s="107" t="s">
        <v>25</v>
      </c>
      <c r="C111" s="108">
        <v>-5916.9800000000032</v>
      </c>
      <c r="D111" s="96">
        <v>-6695.5299999999988</v>
      </c>
      <c r="E111" s="96">
        <v>-7006.9500000000116</v>
      </c>
      <c r="F111" s="96">
        <v>-3425.6199999999953</v>
      </c>
      <c r="G111" s="96">
        <v>-4827.010000000002</v>
      </c>
      <c r="H111" s="96">
        <v>-6851.2399999999907</v>
      </c>
      <c r="I111" s="96">
        <v>-7318.3700000000099</v>
      </c>
      <c r="J111" s="96">
        <v>-7785.5</v>
      </c>
      <c r="K111" s="96">
        <v>-7006.9500000000116</v>
      </c>
      <c r="L111" s="96">
        <v>-5761.2700000000041</v>
      </c>
      <c r="M111" s="96">
        <v>-5916.9800000000032</v>
      </c>
      <c r="N111" s="96">
        <v>-5916.9800000000032</v>
      </c>
      <c r="O111" s="109">
        <v>-74429.380000000034</v>
      </c>
    </row>
    <row r="112" spans="1:15" x14ac:dyDescent="0.25">
      <c r="A112" s="239"/>
      <c r="B112" s="107" t="s">
        <v>26</v>
      </c>
      <c r="C112" s="108">
        <v>-297.16737246115969</v>
      </c>
      <c r="D112" s="96">
        <v>-336.26834252183863</v>
      </c>
      <c r="E112" s="96">
        <v>-351.90873054611018</v>
      </c>
      <c r="F112" s="96">
        <v>-172.04426826698719</v>
      </c>
      <c r="G112" s="96">
        <v>-242.42601437620922</v>
      </c>
      <c r="H112" s="96">
        <v>-344.08853653397438</v>
      </c>
      <c r="I112" s="96">
        <v>-367.54911857038172</v>
      </c>
      <c r="J112" s="96">
        <v>-391.00970060678907</v>
      </c>
      <c r="K112" s="96">
        <v>-351.90873054611018</v>
      </c>
      <c r="L112" s="96">
        <v>-289.34717844902389</v>
      </c>
      <c r="M112" s="96">
        <v>-297.16737246115969</v>
      </c>
      <c r="N112" s="96">
        <v>-297.16737246115969</v>
      </c>
      <c r="O112" s="109">
        <v>-3738.0527378009033</v>
      </c>
    </row>
    <row r="113" spans="1:15" x14ac:dyDescent="0.25">
      <c r="A113" s="239"/>
      <c r="B113" s="107" t="s">
        <v>27</v>
      </c>
      <c r="C113" s="108">
        <v>-6214.1473724611633</v>
      </c>
      <c r="D113" s="96">
        <v>-7031.7983425218372</v>
      </c>
      <c r="E113" s="96">
        <v>-7358.8587305461215</v>
      </c>
      <c r="F113" s="96">
        <v>-3597.6642682669826</v>
      </c>
      <c r="G113" s="96">
        <v>-5069.4360143762115</v>
      </c>
      <c r="H113" s="96">
        <v>-7195.3285365339652</v>
      </c>
      <c r="I113" s="96">
        <v>-7685.9191185703912</v>
      </c>
      <c r="J113" s="96">
        <v>-8176.509700606789</v>
      </c>
      <c r="K113" s="96">
        <v>-7358.8587305461215</v>
      </c>
      <c r="L113" s="96">
        <v>-6050.617178449028</v>
      </c>
      <c r="M113" s="96">
        <v>-6214.1473724611633</v>
      </c>
      <c r="N113" s="96">
        <v>-6214.1473724611633</v>
      </c>
      <c r="O113" s="109">
        <v>-78167.432737800918</v>
      </c>
    </row>
    <row r="114" spans="1:15" x14ac:dyDescent="0.25">
      <c r="A114" s="239"/>
      <c r="B114" s="107" t="s">
        <v>49</v>
      </c>
      <c r="C114" s="108">
        <v>64477.64</v>
      </c>
      <c r="D114" s="96">
        <v>72961.539999999994</v>
      </c>
      <c r="E114" s="96">
        <v>76355.100000000006</v>
      </c>
      <c r="F114" s="96">
        <v>37329.159999999996</v>
      </c>
      <c r="G114" s="96">
        <v>52600.18</v>
      </c>
      <c r="H114" s="96">
        <v>74658.319999999992</v>
      </c>
      <c r="I114" s="96">
        <v>79748.66</v>
      </c>
      <c r="J114" s="96">
        <v>84839</v>
      </c>
      <c r="K114" s="96">
        <v>76355.100000000006</v>
      </c>
      <c r="L114" s="96">
        <v>62780.86</v>
      </c>
      <c r="M114" s="96">
        <v>64477.64</v>
      </c>
      <c r="N114" s="96">
        <v>64477.64</v>
      </c>
      <c r="O114" s="109">
        <v>811060.84</v>
      </c>
    </row>
    <row r="115" spans="1:15" x14ac:dyDescent="0.25">
      <c r="A115" s="239"/>
      <c r="B115" s="107" t="s">
        <v>87</v>
      </c>
      <c r="C115" s="108">
        <v>0</v>
      </c>
      <c r="D115" s="96">
        <v>0</v>
      </c>
      <c r="E115" s="96">
        <v>0</v>
      </c>
      <c r="F115" s="96">
        <v>0</v>
      </c>
      <c r="G115" s="96">
        <v>0</v>
      </c>
      <c r="H115" s="96">
        <v>0</v>
      </c>
      <c r="I115" s="96">
        <v>0</v>
      </c>
      <c r="J115" s="96">
        <v>0</v>
      </c>
      <c r="K115" s="96">
        <v>0</v>
      </c>
      <c r="L115" s="96">
        <v>0</v>
      </c>
      <c r="M115" s="96">
        <v>0</v>
      </c>
      <c r="N115" s="96">
        <v>0</v>
      </c>
      <c r="O115" s="109">
        <v>0</v>
      </c>
    </row>
    <row r="116" spans="1:15" x14ac:dyDescent="0.25">
      <c r="A116" s="239"/>
      <c r="B116" s="107" t="s">
        <v>89</v>
      </c>
      <c r="C116" s="108">
        <v>0</v>
      </c>
      <c r="D116" s="96">
        <v>0</v>
      </c>
      <c r="E116" s="96">
        <v>0</v>
      </c>
      <c r="F116" s="96">
        <v>0</v>
      </c>
      <c r="G116" s="96">
        <v>0</v>
      </c>
      <c r="H116" s="96">
        <v>0</v>
      </c>
      <c r="I116" s="96">
        <v>0</v>
      </c>
      <c r="J116" s="96">
        <v>0</v>
      </c>
      <c r="K116" s="96">
        <v>0</v>
      </c>
      <c r="L116" s="96">
        <v>0</v>
      </c>
      <c r="M116" s="96">
        <v>0</v>
      </c>
      <c r="N116" s="96">
        <v>0</v>
      </c>
      <c r="O116" s="109">
        <v>0</v>
      </c>
    </row>
    <row r="117" spans="1:15" x14ac:dyDescent="0.25">
      <c r="A117" s="97" t="s">
        <v>71</v>
      </c>
      <c r="B117" s="98"/>
      <c r="C117" s="104">
        <v>12268458.270000001</v>
      </c>
      <c r="D117" s="105">
        <v>12485749.139999999</v>
      </c>
      <c r="E117" s="105">
        <v>12807832.77</v>
      </c>
      <c r="F117" s="105">
        <v>10095549.57</v>
      </c>
      <c r="G117" s="105">
        <v>12427188.48</v>
      </c>
      <c r="H117" s="105">
        <v>14549241.870000001</v>
      </c>
      <c r="I117" s="105">
        <v>15250428.720000003</v>
      </c>
      <c r="J117" s="105">
        <v>16053326.189999996</v>
      </c>
      <c r="K117" s="105">
        <v>14932968.300000001</v>
      </c>
      <c r="L117" s="105">
        <v>14016211.955189999</v>
      </c>
      <c r="M117" s="105">
        <v>12220685.1</v>
      </c>
      <c r="N117" s="105">
        <v>11958703.199999997</v>
      </c>
      <c r="O117" s="106">
        <v>159066343.56518999</v>
      </c>
    </row>
    <row r="118" spans="1:15" ht="13" x14ac:dyDescent="0.3">
      <c r="A118" s="97" t="s">
        <v>28</v>
      </c>
      <c r="B118" s="98"/>
      <c r="C118" s="243">
        <v>-1239607.31</v>
      </c>
      <c r="D118" s="244">
        <v>-1261562.42</v>
      </c>
      <c r="E118" s="244">
        <v>-1294105.8100000008</v>
      </c>
      <c r="F118" s="244">
        <v>-1020056.2100000002</v>
      </c>
      <c r="G118" s="244">
        <v>-1255645.4399999997</v>
      </c>
      <c r="H118" s="244">
        <v>-1470058.1100000003</v>
      </c>
      <c r="I118" s="244">
        <v>-1540906.1599999997</v>
      </c>
      <c r="J118" s="244">
        <v>-1622031.070000001</v>
      </c>
      <c r="K118" s="244">
        <v>-1508829.8999999994</v>
      </c>
      <c r="L118" s="244">
        <v>-1416200.6680700008</v>
      </c>
      <c r="M118" s="244">
        <v>-1234780.3000000003</v>
      </c>
      <c r="N118" s="244">
        <v>-1208309.6000000006</v>
      </c>
      <c r="O118" s="245">
        <v>-16072092.998070005</v>
      </c>
    </row>
    <row r="119" spans="1:15" ht="13" x14ac:dyDescent="0.3">
      <c r="A119" s="97" t="s">
        <v>29</v>
      </c>
      <c r="B119" s="98"/>
      <c r="C119" s="243">
        <v>-62256.564530612959</v>
      </c>
      <c r="D119" s="244">
        <v>-63359.211886324098</v>
      </c>
      <c r="E119" s="244">
        <v>-64993.632434860476</v>
      </c>
      <c r="F119" s="244">
        <v>-51230.090973501501</v>
      </c>
      <c r="G119" s="244">
        <v>-63062.044513862929</v>
      </c>
      <c r="H119" s="244">
        <v>-73830.451668573936</v>
      </c>
      <c r="I119" s="244">
        <v>-77388.639944095703</v>
      </c>
      <c r="J119" s="244">
        <v>-81462.96102441843</v>
      </c>
      <c r="K119" s="244">
        <v>-75777.679977595748</v>
      </c>
      <c r="L119" s="244">
        <v>-71125.579503074347</v>
      </c>
      <c r="M119" s="244">
        <v>-62014.138516236744</v>
      </c>
      <c r="N119" s="244">
        <v>-60684.705534173656</v>
      </c>
      <c r="O119" s="245">
        <v>-807185.70050733036</v>
      </c>
    </row>
    <row r="120" spans="1:15" ht="13" x14ac:dyDescent="0.3">
      <c r="A120" s="97" t="s">
        <v>30</v>
      </c>
      <c r="B120" s="98"/>
      <c r="C120" s="243">
        <v>-1301863.8745306125</v>
      </c>
      <c r="D120" s="244">
        <v>-1324921.6318863239</v>
      </c>
      <c r="E120" s="244">
        <v>-1359099.4424348618</v>
      </c>
      <c r="F120" s="244">
        <v>-1071286.3009735018</v>
      </c>
      <c r="G120" s="244">
        <v>-1318707.4845138632</v>
      </c>
      <c r="H120" s="244">
        <v>-1543888.5616685743</v>
      </c>
      <c r="I120" s="244">
        <v>-1618294.7999440955</v>
      </c>
      <c r="J120" s="244">
        <v>-1703494.0310244195</v>
      </c>
      <c r="K120" s="244">
        <v>-1584607.5799775952</v>
      </c>
      <c r="L120" s="244">
        <v>-1487326.2475730749</v>
      </c>
      <c r="M120" s="244">
        <v>-1296794.4385162371</v>
      </c>
      <c r="N120" s="244">
        <v>-1268994.3055341742</v>
      </c>
      <c r="O120" s="245">
        <v>-16879278.698577333</v>
      </c>
    </row>
    <row r="121" spans="1:15" x14ac:dyDescent="0.25">
      <c r="A121" s="97" t="s">
        <v>61</v>
      </c>
      <c r="B121" s="98"/>
      <c r="C121" s="104">
        <v>13508065.58</v>
      </c>
      <c r="D121" s="105">
        <v>13747311.559999999</v>
      </c>
      <c r="E121" s="105">
        <v>14101938.579999998</v>
      </c>
      <c r="F121" s="105">
        <v>11115605.780000005</v>
      </c>
      <c r="G121" s="105">
        <v>13682833.920000002</v>
      </c>
      <c r="H121" s="105">
        <v>16019299.98</v>
      </c>
      <c r="I121" s="105">
        <v>16791334.879999999</v>
      </c>
      <c r="J121" s="105">
        <v>17675357.259999998</v>
      </c>
      <c r="K121" s="105">
        <v>16441798.199999997</v>
      </c>
      <c r="L121" s="105">
        <v>15432412.623259999</v>
      </c>
      <c r="M121" s="105">
        <v>13455465.400000002</v>
      </c>
      <c r="N121" s="105">
        <v>13167012.800000004</v>
      </c>
      <c r="O121" s="106">
        <v>175138436.56325999</v>
      </c>
    </row>
    <row r="122" spans="1:15" x14ac:dyDescent="0.25">
      <c r="A122" s="97" t="s">
        <v>88</v>
      </c>
      <c r="B122" s="98"/>
      <c r="C122" s="104">
        <v>0</v>
      </c>
      <c r="D122" s="105">
        <v>0</v>
      </c>
      <c r="E122" s="105">
        <v>0</v>
      </c>
      <c r="F122" s="105">
        <v>0</v>
      </c>
      <c r="G122" s="105">
        <v>0</v>
      </c>
      <c r="H122" s="105">
        <v>0</v>
      </c>
      <c r="I122" s="105">
        <v>0</v>
      </c>
      <c r="J122" s="105">
        <v>0</v>
      </c>
      <c r="K122" s="105">
        <v>0</v>
      </c>
      <c r="L122" s="105">
        <v>0</v>
      </c>
      <c r="M122" s="105">
        <v>0</v>
      </c>
      <c r="N122" s="105">
        <v>0</v>
      </c>
      <c r="O122" s="106">
        <v>0</v>
      </c>
    </row>
    <row r="123" spans="1:15" x14ac:dyDescent="0.25">
      <c r="A123" s="110" t="s">
        <v>90</v>
      </c>
      <c r="B123" s="246"/>
      <c r="C123" s="111">
        <v>0</v>
      </c>
      <c r="D123" s="112">
        <v>0</v>
      </c>
      <c r="E123" s="112">
        <v>0</v>
      </c>
      <c r="F123" s="112">
        <v>0</v>
      </c>
      <c r="G123" s="112">
        <v>0</v>
      </c>
      <c r="H123" s="112">
        <v>0</v>
      </c>
      <c r="I123" s="112">
        <v>0</v>
      </c>
      <c r="J123" s="112">
        <v>0</v>
      </c>
      <c r="K123" s="112">
        <v>0</v>
      </c>
      <c r="L123" s="112">
        <v>0</v>
      </c>
      <c r="M123" s="112">
        <v>0</v>
      </c>
      <c r="N123" s="112">
        <v>0</v>
      </c>
      <c r="O123" s="113">
        <v>0</v>
      </c>
    </row>
  </sheetData>
  <phoneticPr fontId="6" type="noConversion"/>
  <pageMargins left="0.5" right="0.5" top="0.73" bottom="0.98" header="0.5" footer="0.5"/>
  <pageSetup scale="53" fitToHeight="0" orientation="landscape" horizontalDpi="1200" verticalDpi="12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S220"/>
  <sheetViews>
    <sheetView showGridLines="0" zoomScaleNormal="100" zoomScaleSheetLayoutView="100" workbookViewId="0">
      <selection activeCell="K4" sqref="K4"/>
    </sheetView>
  </sheetViews>
  <sheetFormatPr defaultColWidth="8.7265625" defaultRowHeight="12.5" x14ac:dyDescent="0.25"/>
  <cols>
    <col min="1" max="1" width="0.54296875" style="1" customWidth="1"/>
    <col min="2" max="2" width="10.26953125" style="1" bestFit="1" customWidth="1"/>
    <col min="3" max="3" width="10.7265625" style="1" bestFit="1" customWidth="1"/>
    <col min="4" max="4" width="11" style="163" customWidth="1"/>
    <col min="5" max="5" width="24.26953125" style="1" customWidth="1"/>
    <col min="6" max="6" width="7.7265625" style="163" customWidth="1"/>
    <col min="7" max="7" width="6.7265625" style="163" customWidth="1"/>
    <col min="8" max="8" width="11.1796875" style="163" bestFit="1" customWidth="1"/>
    <col min="9" max="9" width="11.26953125" style="164" customWidth="1"/>
    <col min="10" max="10" width="14.81640625" style="163" bestFit="1" customWidth="1"/>
    <col min="11" max="11" width="14.81640625" style="165" bestFit="1" customWidth="1"/>
    <col min="12" max="12" width="14.7265625" style="163" customWidth="1"/>
    <col min="13" max="13" width="13.453125" style="125" bestFit="1" customWidth="1"/>
    <col min="14" max="15" width="13.453125" style="125" customWidth="1"/>
    <col min="16" max="16" width="14.81640625" style="125" bestFit="1" customWidth="1"/>
    <col min="17" max="17" width="13.453125" style="125" customWidth="1"/>
    <col min="18" max="18" width="15.54296875" style="238" customWidth="1"/>
    <col min="19" max="16384" width="8.7265625" style="1"/>
  </cols>
  <sheetData>
    <row r="1" spans="2:18" ht="21.5" x14ac:dyDescent="0.3">
      <c r="B1" s="10" t="s">
        <v>99</v>
      </c>
      <c r="C1" s="114"/>
      <c r="D1" s="115"/>
      <c r="E1" s="114"/>
      <c r="F1" s="116" t="s">
        <v>12</v>
      </c>
      <c r="G1" s="117"/>
      <c r="H1" s="118"/>
      <c r="I1" s="119"/>
      <c r="J1" s="120" t="str">
        <f>"True-Up ARR
(CY"&amp;R1&amp;")"</f>
        <v>True-Up ARR
(CY2019)</v>
      </c>
      <c r="K1" s="120" t="str">
        <f>"Projected ARR
(Jan'"&amp;RIGHT(R$1,2)&amp;" - Dec'"&amp;RIGHT(R$1,2)&amp;")"</f>
        <v>Projected ARR
(Jan'19 - Dec'19)</v>
      </c>
      <c r="L1" s="121" t="s">
        <v>45</v>
      </c>
      <c r="M1" s="122"/>
      <c r="N1" s="52"/>
      <c r="O1" s="52"/>
      <c r="P1" s="52"/>
      <c r="Q1" s="52"/>
      <c r="R1" s="123">
        <v>2019</v>
      </c>
    </row>
    <row r="2" spans="2:18" ht="13" x14ac:dyDescent="0.3">
      <c r="B2" s="10" t="s">
        <v>52</v>
      </c>
      <c r="C2" s="114"/>
      <c r="D2" s="115"/>
      <c r="E2" s="114"/>
      <c r="F2" s="124">
        <v>9</v>
      </c>
      <c r="G2" s="248"/>
      <c r="H2" s="248"/>
      <c r="I2" s="126" t="s">
        <v>6</v>
      </c>
      <c r="J2" s="127">
        <v>159075181.09769189</v>
      </c>
      <c r="K2" s="127">
        <v>170913627.58623862</v>
      </c>
      <c r="L2" s="128"/>
      <c r="M2" s="129"/>
      <c r="N2" s="52"/>
      <c r="O2" s="52"/>
      <c r="P2" s="52"/>
      <c r="Q2" s="52"/>
      <c r="R2" s="1"/>
    </row>
    <row r="3" spans="2:18" ht="13" x14ac:dyDescent="0.3">
      <c r="B3" s="10" t="str">
        <f>"for CY"&amp;R1&amp;" SPP Network Transmission Service"</f>
        <v>for CY2019 SPP Network Transmission Service</v>
      </c>
      <c r="C3" s="114"/>
      <c r="D3" s="115"/>
      <c r="E3" s="114"/>
      <c r="F3" s="124"/>
      <c r="G3" s="248"/>
      <c r="H3" s="248"/>
      <c r="I3" s="126" t="s">
        <v>10</v>
      </c>
      <c r="J3" s="130">
        <v>1541.07</v>
      </c>
      <c r="K3" s="130">
        <v>1696.78</v>
      </c>
      <c r="L3" s="131" t="str">
        <f>"Inv. Jan-Dec'"&amp;RIGHT(R1,2)</f>
        <v>Inv. Jan-Dec'19</v>
      </c>
      <c r="M3" s="129"/>
      <c r="N3" s="52"/>
      <c r="O3" s="52"/>
      <c r="P3" s="52"/>
      <c r="Q3" s="52"/>
      <c r="R3" s="1"/>
    </row>
    <row r="4" spans="2:18" ht="13" x14ac:dyDescent="0.3">
      <c r="B4" s="9"/>
      <c r="C4" s="114"/>
      <c r="D4" s="115"/>
      <c r="E4" s="114"/>
      <c r="F4" s="124"/>
      <c r="G4" s="125"/>
      <c r="H4" s="125"/>
      <c r="I4" s="51"/>
      <c r="J4" s="125"/>
      <c r="K4" s="132"/>
      <c r="L4" s="125"/>
      <c r="M4" s="133"/>
      <c r="R4" s="1"/>
    </row>
    <row r="5" spans="2:18" ht="13" x14ac:dyDescent="0.3">
      <c r="B5" s="9"/>
      <c r="C5" s="114"/>
      <c r="D5" s="115"/>
      <c r="E5" s="114"/>
      <c r="F5" s="124"/>
      <c r="G5" s="125"/>
      <c r="H5" s="125"/>
      <c r="I5" s="126"/>
      <c r="J5" s="125"/>
      <c r="K5" s="132"/>
      <c r="L5" s="125"/>
      <c r="M5" s="134"/>
      <c r="N5" s="135"/>
      <c r="O5" s="135"/>
      <c r="P5" s="135"/>
      <c r="Q5" s="135"/>
      <c r="R5" s="136"/>
    </row>
    <row r="6" spans="2:18" ht="13" x14ac:dyDescent="0.3">
      <c r="B6" s="10" t="s">
        <v>23</v>
      </c>
      <c r="D6" s="115"/>
      <c r="E6" s="114"/>
      <c r="F6" s="137"/>
      <c r="G6" s="138"/>
      <c r="H6" s="139"/>
      <c r="I6" s="140"/>
      <c r="J6" s="141"/>
      <c r="K6" s="141"/>
      <c r="L6" s="142"/>
      <c r="M6" s="134"/>
      <c r="N6" s="135"/>
      <c r="O6" s="135"/>
      <c r="P6" s="135"/>
      <c r="Q6" s="135"/>
      <c r="R6" s="1"/>
    </row>
    <row r="7" spans="2:18" ht="13" x14ac:dyDescent="0.3">
      <c r="B7" s="9" t="s">
        <v>77</v>
      </c>
      <c r="D7" s="115"/>
      <c r="E7" s="114"/>
      <c r="F7" s="124"/>
      <c r="G7" s="249"/>
      <c r="H7" s="248"/>
      <c r="I7" s="126"/>
      <c r="J7" s="143"/>
      <c r="K7" s="128"/>
      <c r="L7" s="128"/>
      <c r="M7" s="144"/>
      <c r="N7" s="145"/>
      <c r="O7" s="145"/>
      <c r="P7" s="145"/>
      <c r="Q7" s="145"/>
      <c r="R7" s="1"/>
    </row>
    <row r="8" spans="2:18" ht="13" x14ac:dyDescent="0.3">
      <c r="B8" s="10"/>
      <c r="C8" s="114"/>
      <c r="D8" s="115"/>
      <c r="E8" s="114"/>
      <c r="F8" s="124"/>
      <c r="G8" s="248"/>
      <c r="H8" s="248"/>
      <c r="I8" s="126"/>
      <c r="J8" s="146"/>
      <c r="K8" s="128"/>
      <c r="L8" s="147"/>
      <c r="M8" s="129"/>
      <c r="N8" s="52"/>
      <c r="O8" s="52"/>
      <c r="P8" s="52"/>
      <c r="Q8" s="52"/>
      <c r="R8" s="136"/>
    </row>
    <row r="9" spans="2:18" ht="13" x14ac:dyDescent="0.3">
      <c r="B9" s="148"/>
      <c r="C9" s="114"/>
      <c r="D9" s="115"/>
      <c r="E9" s="114"/>
      <c r="F9" s="124"/>
      <c r="G9" s="125"/>
      <c r="H9" s="125"/>
      <c r="I9" s="149"/>
      <c r="J9" s="150"/>
      <c r="K9" s="151"/>
      <c r="L9" s="152"/>
      <c r="M9" s="129"/>
      <c r="N9" s="52"/>
      <c r="O9" s="52"/>
      <c r="P9" s="52"/>
      <c r="Q9" s="52"/>
      <c r="R9" s="136"/>
    </row>
    <row r="10" spans="2:18" ht="13.5" thickBot="1" x14ac:dyDescent="0.35">
      <c r="B10" s="9"/>
      <c r="D10" s="1"/>
      <c r="E10" s="153"/>
      <c r="F10" s="154"/>
      <c r="G10" s="155"/>
      <c r="H10" s="156"/>
      <c r="I10" s="157"/>
      <c r="J10" s="158"/>
      <c r="K10" s="158"/>
      <c r="L10" s="159"/>
      <c r="M10" s="160"/>
      <c r="R10" s="161"/>
    </row>
    <row r="11" spans="2:18" ht="13" x14ac:dyDescent="0.3">
      <c r="B11" s="162"/>
      <c r="E11" s="153"/>
      <c r="L11" s="166"/>
      <c r="M11" s="1"/>
      <c r="N11" s="1"/>
      <c r="O11" s="1"/>
      <c r="P11" s="1"/>
      <c r="Q11" s="1"/>
      <c r="R11" s="136"/>
    </row>
    <row r="12" spans="2:18" x14ac:dyDescent="0.25">
      <c r="E12" s="153"/>
      <c r="L12" s="166"/>
      <c r="R12" s="167" t="s">
        <v>60</v>
      </c>
    </row>
    <row r="13" spans="2:18" ht="13" x14ac:dyDescent="0.3">
      <c r="E13" s="153"/>
      <c r="F13" s="168"/>
      <c r="G13" s="169"/>
      <c r="H13" s="169"/>
      <c r="I13" s="170" t="s">
        <v>58</v>
      </c>
      <c r="J13" s="171">
        <f t="shared" ref="J13:R13" si="0">SUM(J56:J211)</f>
        <v>40605833.735190041</v>
      </c>
      <c r="K13" s="171">
        <f t="shared" si="0"/>
        <v>44708654.743259996</v>
      </c>
      <c r="L13" s="172">
        <f t="shared" si="0"/>
        <v>-4102821.0080699972</v>
      </c>
      <c r="M13" s="173">
        <f t="shared" si="0"/>
        <v>-206055.2069884653</v>
      </c>
      <c r="N13" s="171">
        <f t="shared" si="0"/>
        <v>-4308876.2150584646</v>
      </c>
      <c r="O13" s="171">
        <f t="shared" si="0"/>
        <v>0</v>
      </c>
      <c r="P13" s="171">
        <f t="shared" si="0"/>
        <v>0</v>
      </c>
      <c r="Q13" s="171">
        <f t="shared" si="0"/>
        <v>0</v>
      </c>
      <c r="R13" s="172">
        <f t="shared" si="0"/>
        <v>-4308876.2150584646</v>
      </c>
    </row>
    <row r="14" spans="2:18" ht="13" x14ac:dyDescent="0.3">
      <c r="E14" s="153"/>
      <c r="F14" s="174"/>
      <c r="G14" s="174"/>
      <c r="H14" s="174"/>
      <c r="I14" s="175" t="s">
        <v>59</v>
      </c>
      <c r="J14" s="171">
        <f>SUM(J20:J211)</f>
        <v>159066343.5651899</v>
      </c>
      <c r="K14" s="171">
        <f>SUM(K20:K211)</f>
        <v>175138436.56325987</v>
      </c>
      <c r="L14" s="172">
        <f>SUM(L20:L211)</f>
        <v>-16072092.998070011</v>
      </c>
      <c r="M14" s="173">
        <v>-807185.70050733048</v>
      </c>
      <c r="N14" s="171">
        <f>SUM(N20:N211)</f>
        <v>-16879278.698577326</v>
      </c>
      <c r="O14" s="171">
        <f>SUM(O20:O211)</f>
        <v>0</v>
      </c>
      <c r="P14" s="171">
        <f>SUM(P20:P211)</f>
        <v>0</v>
      </c>
      <c r="Q14" s="171">
        <f>SUM(Q20:Q211)</f>
        <v>0</v>
      </c>
      <c r="R14" s="172">
        <f>SUM(R20:R211)</f>
        <v>-16879278.698577326</v>
      </c>
    </row>
    <row r="15" spans="2:18" x14ac:dyDescent="0.25">
      <c r="B15" s="176" t="s">
        <v>82</v>
      </c>
      <c r="E15" s="153"/>
      <c r="J15" s="164"/>
      <c r="L15" s="166"/>
      <c r="M15" s="177"/>
      <c r="N15" s="177"/>
      <c r="O15" s="177"/>
      <c r="P15" s="177"/>
      <c r="Q15" s="177"/>
      <c r="R15" s="178" t="s">
        <v>20</v>
      </c>
    </row>
    <row r="16" spans="2:18" x14ac:dyDescent="0.25">
      <c r="B16" s="179" t="str">
        <f>"** Actual Trued-Up CY"&amp;R1&amp;" Charge reflects "&amp;R1&amp;" True-UP Rate x MW"</f>
        <v>** Actual Trued-Up CY2019 Charge reflects 2019 True-UP Rate x MW</v>
      </c>
      <c r="E16" s="153"/>
      <c r="F16" s="125"/>
      <c r="G16" s="5"/>
      <c r="J16" s="180"/>
      <c r="L16" s="181" t="s">
        <v>11</v>
      </c>
      <c r="M16" s="177"/>
      <c r="N16" s="177"/>
      <c r="O16" s="177"/>
      <c r="P16" s="177"/>
      <c r="Q16" s="177"/>
      <c r="R16" s="182"/>
    </row>
    <row r="17" spans="1:18" x14ac:dyDescent="0.25">
      <c r="B17" s="183" t="s">
        <v>62</v>
      </c>
      <c r="E17" s="153"/>
      <c r="I17" s="184"/>
      <c r="J17" s="185"/>
      <c r="K17" s="186"/>
      <c r="L17" s="186"/>
      <c r="M17" s="186"/>
      <c r="N17" s="186"/>
      <c r="O17" s="186"/>
      <c r="P17" s="186"/>
      <c r="Q17" s="186"/>
      <c r="R17" s="187"/>
    </row>
    <row r="18" spans="1:18" ht="3.65" customHeight="1" x14ac:dyDescent="0.25">
      <c r="I18" s="188"/>
      <c r="J18" s="185"/>
      <c r="K18" s="188"/>
      <c r="L18" s="188"/>
      <c r="M18" s="189"/>
      <c r="N18" s="189"/>
      <c r="O18" s="189"/>
      <c r="P18" s="189"/>
      <c r="Q18" s="189"/>
      <c r="R18" s="190"/>
    </row>
    <row r="19" spans="1:18" ht="38.25" customHeight="1" x14ac:dyDescent="0.25">
      <c r="B19" s="191" t="s">
        <v>53</v>
      </c>
      <c r="C19" s="192" t="s">
        <v>4</v>
      </c>
      <c r="D19" s="192" t="s">
        <v>5</v>
      </c>
      <c r="E19" s="193" t="s">
        <v>0</v>
      </c>
      <c r="F19" s="194" t="s">
        <v>12</v>
      </c>
      <c r="G19" s="195" t="s">
        <v>1</v>
      </c>
      <c r="H19" s="196" t="s">
        <v>48</v>
      </c>
      <c r="I19" s="196" t="s">
        <v>46</v>
      </c>
      <c r="J19" s="197" t="str">
        <f>"True-Up Charge"</f>
        <v>True-Up Charge</v>
      </c>
      <c r="K19" s="197" t="s">
        <v>47</v>
      </c>
      <c r="L19" s="198" t="s">
        <v>3</v>
      </c>
      <c r="M19" s="199" t="s">
        <v>7</v>
      </c>
      <c r="N19" s="200" t="s">
        <v>100</v>
      </c>
      <c r="O19" s="200" t="s">
        <v>84</v>
      </c>
      <c r="P19" s="200" t="s">
        <v>85</v>
      </c>
      <c r="Q19" s="200" t="s">
        <v>86</v>
      </c>
      <c r="R19" s="201" t="s">
        <v>2</v>
      </c>
    </row>
    <row r="20" spans="1:18" s="52" customFormat="1" ht="12.75" customHeight="1" x14ac:dyDescent="0.25">
      <c r="A20" s="125">
        <v>1</v>
      </c>
      <c r="B20" s="202">
        <f>DATE($R$1,A20,1)</f>
        <v>43466</v>
      </c>
      <c r="C20" s="203">
        <v>43501</v>
      </c>
      <c r="D20" s="203">
        <v>43516</v>
      </c>
      <c r="E20" s="204" t="s">
        <v>21</v>
      </c>
      <c r="F20" s="125">
        <v>9</v>
      </c>
      <c r="G20" s="205">
        <v>2561</v>
      </c>
      <c r="H20" s="206">
        <f t="shared" ref="H20:H83" si="1">$K$3</f>
        <v>1696.78</v>
      </c>
      <c r="I20" s="206">
        <f t="shared" ref="I20:I63" si="2">$J$3</f>
        <v>1541.07</v>
      </c>
      <c r="J20" s="207">
        <f t="shared" ref="J20:J108" si="3">+$G20*I20</f>
        <v>3946680.27</v>
      </c>
      <c r="K20" s="208">
        <f>+$G20*H20</f>
        <v>4345453.58</v>
      </c>
      <c r="L20" s="209">
        <f t="shared" ref="L20:L34" si="4">+J20-K20</f>
        <v>-398773.31000000006</v>
      </c>
      <c r="M20" s="210">
        <f>G20/$G$212*$M$14</f>
        <v>-20027.516865079735</v>
      </c>
      <c r="N20" s="211">
        <f>SUM(L20:M20)</f>
        <v>-418800.82686507981</v>
      </c>
      <c r="O20" s="210">
        <v>0</v>
      </c>
      <c r="P20" s="210">
        <v>0</v>
      </c>
      <c r="Q20" s="210">
        <v>0</v>
      </c>
      <c r="R20" s="211">
        <f>+N20-Q20</f>
        <v>-418800.82686507981</v>
      </c>
    </row>
    <row r="21" spans="1:18" x14ac:dyDescent="0.25">
      <c r="A21" s="163">
        <v>2</v>
      </c>
      <c r="B21" s="202">
        <f t="shared" ref="B21:B108" si="5">DATE($R$1,A21,1)</f>
        <v>43497</v>
      </c>
      <c r="C21" s="203">
        <v>43529</v>
      </c>
      <c r="D21" s="203">
        <v>43544</v>
      </c>
      <c r="E21" s="212" t="s">
        <v>21</v>
      </c>
      <c r="F21" s="163">
        <v>9</v>
      </c>
      <c r="G21" s="205">
        <v>2792</v>
      </c>
      <c r="H21" s="206">
        <f t="shared" si="1"/>
        <v>1696.78</v>
      </c>
      <c r="I21" s="206">
        <f t="shared" si="2"/>
        <v>1541.07</v>
      </c>
      <c r="J21" s="207">
        <f t="shared" si="3"/>
        <v>4302667.4399999995</v>
      </c>
      <c r="K21" s="208">
        <f t="shared" ref="K21:K33" si="6">+$G21*H21</f>
        <v>4737409.76</v>
      </c>
      <c r="L21" s="209">
        <f t="shared" si="4"/>
        <v>-434742.3200000003</v>
      </c>
      <c r="M21" s="210">
        <f t="shared" ref="M21:M84" si="7">G21/$G$212*$M$14</f>
        <v>-21833.981681883099</v>
      </c>
      <c r="N21" s="211">
        <f t="shared" ref="N21:N84" si="8">SUM(L21:M21)</f>
        <v>-456576.3016818834</v>
      </c>
      <c r="O21" s="210">
        <v>0</v>
      </c>
      <c r="P21" s="210">
        <v>0</v>
      </c>
      <c r="Q21" s="210">
        <v>0</v>
      </c>
      <c r="R21" s="211">
        <f t="shared" ref="R21:R84" si="9">+N21-Q21</f>
        <v>-456576.3016818834</v>
      </c>
    </row>
    <row r="22" spans="1:18" x14ac:dyDescent="0.25">
      <c r="A22" s="163">
        <v>3</v>
      </c>
      <c r="B22" s="202">
        <f t="shared" si="5"/>
        <v>43525</v>
      </c>
      <c r="C22" s="203">
        <v>43558</v>
      </c>
      <c r="D22" s="203">
        <v>43573</v>
      </c>
      <c r="E22" s="212" t="s">
        <v>21</v>
      </c>
      <c r="F22" s="163">
        <v>9</v>
      </c>
      <c r="G22" s="205">
        <v>2805</v>
      </c>
      <c r="H22" s="206">
        <f t="shared" si="1"/>
        <v>1696.78</v>
      </c>
      <c r="I22" s="206">
        <f t="shared" si="2"/>
        <v>1541.07</v>
      </c>
      <c r="J22" s="207">
        <f t="shared" si="3"/>
        <v>4322701.3499999996</v>
      </c>
      <c r="K22" s="208">
        <f t="shared" si="6"/>
        <v>4759467.9000000004</v>
      </c>
      <c r="L22" s="209">
        <f t="shared" si="4"/>
        <v>-436766.55000000075</v>
      </c>
      <c r="M22" s="210">
        <f t="shared" si="7"/>
        <v>-21935.644204040866</v>
      </c>
      <c r="N22" s="211">
        <f t="shared" si="8"/>
        <v>-458702.19420404162</v>
      </c>
      <c r="O22" s="210">
        <v>0</v>
      </c>
      <c r="P22" s="210">
        <v>0</v>
      </c>
      <c r="Q22" s="210">
        <v>0</v>
      </c>
      <c r="R22" s="211">
        <f t="shared" si="9"/>
        <v>-458702.19420404162</v>
      </c>
    </row>
    <row r="23" spans="1:18" x14ac:dyDescent="0.25">
      <c r="A23" s="125">
        <v>4</v>
      </c>
      <c r="B23" s="202">
        <f t="shared" si="5"/>
        <v>43556</v>
      </c>
      <c r="C23" s="203">
        <v>43588</v>
      </c>
      <c r="D23" s="203">
        <v>43605</v>
      </c>
      <c r="E23" s="212" t="s">
        <v>21</v>
      </c>
      <c r="F23" s="163">
        <v>9</v>
      </c>
      <c r="G23" s="205">
        <v>2574</v>
      </c>
      <c r="H23" s="206">
        <f t="shared" si="1"/>
        <v>1696.78</v>
      </c>
      <c r="I23" s="206">
        <f t="shared" si="2"/>
        <v>1541.07</v>
      </c>
      <c r="J23" s="207">
        <f t="shared" si="3"/>
        <v>3966714.1799999997</v>
      </c>
      <c r="K23" s="208">
        <f t="shared" si="6"/>
        <v>4367511.72</v>
      </c>
      <c r="L23" s="209">
        <f t="shared" si="4"/>
        <v>-400797.54000000004</v>
      </c>
      <c r="M23" s="210">
        <f t="shared" si="7"/>
        <v>-20129.179387237502</v>
      </c>
      <c r="N23" s="211">
        <f t="shared" si="8"/>
        <v>-420926.71938723756</v>
      </c>
      <c r="O23" s="210">
        <v>0</v>
      </c>
      <c r="P23" s="210">
        <v>0</v>
      </c>
      <c r="Q23" s="210">
        <v>0</v>
      </c>
      <c r="R23" s="211">
        <f t="shared" si="9"/>
        <v>-420926.71938723756</v>
      </c>
    </row>
    <row r="24" spans="1:18" ht="12" customHeight="1" x14ac:dyDescent="0.25">
      <c r="A24" s="163">
        <v>5</v>
      </c>
      <c r="B24" s="202">
        <f t="shared" si="5"/>
        <v>43586</v>
      </c>
      <c r="C24" s="203">
        <v>43621</v>
      </c>
      <c r="D24" s="203">
        <v>43636</v>
      </c>
      <c r="E24" s="54" t="s">
        <v>21</v>
      </c>
      <c r="F24" s="163">
        <v>9</v>
      </c>
      <c r="G24" s="205">
        <v>2970</v>
      </c>
      <c r="H24" s="206">
        <f t="shared" si="1"/>
        <v>1696.78</v>
      </c>
      <c r="I24" s="206">
        <f t="shared" si="2"/>
        <v>1541.07</v>
      </c>
      <c r="J24" s="207">
        <f t="shared" si="3"/>
        <v>4576977.8999999994</v>
      </c>
      <c r="K24" s="208">
        <f t="shared" si="6"/>
        <v>5039436.5999999996</v>
      </c>
      <c r="L24" s="209">
        <f t="shared" si="4"/>
        <v>-462458.70000000019</v>
      </c>
      <c r="M24" s="210">
        <f t="shared" si="7"/>
        <v>-23225.976216043269</v>
      </c>
      <c r="N24" s="211">
        <f t="shared" si="8"/>
        <v>-485684.67621604347</v>
      </c>
      <c r="O24" s="210">
        <v>0</v>
      </c>
      <c r="P24" s="210">
        <v>0</v>
      </c>
      <c r="Q24" s="210">
        <v>0</v>
      </c>
      <c r="R24" s="211">
        <f t="shared" si="9"/>
        <v>-485684.67621604347</v>
      </c>
    </row>
    <row r="25" spans="1:18" x14ac:dyDescent="0.25">
      <c r="A25" s="163">
        <v>6</v>
      </c>
      <c r="B25" s="202">
        <f t="shared" si="5"/>
        <v>43617</v>
      </c>
      <c r="C25" s="203">
        <v>43649</v>
      </c>
      <c r="D25" s="203">
        <v>43664</v>
      </c>
      <c r="E25" s="54" t="s">
        <v>21</v>
      </c>
      <c r="F25" s="163">
        <v>9</v>
      </c>
      <c r="G25" s="205">
        <v>3724</v>
      </c>
      <c r="H25" s="206">
        <f t="shared" si="1"/>
        <v>1696.78</v>
      </c>
      <c r="I25" s="206">
        <f t="shared" si="2"/>
        <v>1541.07</v>
      </c>
      <c r="J25" s="207">
        <f t="shared" si="3"/>
        <v>5738944.6799999997</v>
      </c>
      <c r="K25" s="208">
        <f t="shared" si="6"/>
        <v>6318808.7199999997</v>
      </c>
      <c r="L25" s="213">
        <f t="shared" si="4"/>
        <v>-579864.04</v>
      </c>
      <c r="M25" s="210">
        <f t="shared" si="7"/>
        <v>-29122.402501193646</v>
      </c>
      <c r="N25" s="211">
        <f t="shared" si="8"/>
        <v>-608986.44250119373</v>
      </c>
      <c r="O25" s="210">
        <v>0</v>
      </c>
      <c r="P25" s="210">
        <v>0</v>
      </c>
      <c r="Q25" s="210">
        <v>0</v>
      </c>
      <c r="R25" s="211">
        <f t="shared" si="9"/>
        <v>-608986.44250119373</v>
      </c>
    </row>
    <row r="26" spans="1:18" x14ac:dyDescent="0.25">
      <c r="A26" s="125">
        <v>7</v>
      </c>
      <c r="B26" s="202">
        <f t="shared" si="5"/>
        <v>43647</v>
      </c>
      <c r="C26" s="203">
        <v>43682</v>
      </c>
      <c r="D26" s="203">
        <v>43697</v>
      </c>
      <c r="E26" s="54" t="s">
        <v>21</v>
      </c>
      <c r="F26" s="163">
        <v>9</v>
      </c>
      <c r="G26" s="205">
        <v>3923</v>
      </c>
      <c r="H26" s="206">
        <f t="shared" si="1"/>
        <v>1696.78</v>
      </c>
      <c r="I26" s="206">
        <f t="shared" si="2"/>
        <v>1541.07</v>
      </c>
      <c r="J26" s="207">
        <f t="shared" si="3"/>
        <v>6045617.6099999994</v>
      </c>
      <c r="K26" s="214">
        <f t="shared" si="6"/>
        <v>6656467.9399999995</v>
      </c>
      <c r="L26" s="213">
        <f t="shared" si="4"/>
        <v>-610850.33000000007</v>
      </c>
      <c r="M26" s="210">
        <f t="shared" si="7"/>
        <v>-30678.62110960867</v>
      </c>
      <c r="N26" s="211">
        <f t="shared" si="8"/>
        <v>-641528.95110960875</v>
      </c>
      <c r="O26" s="210">
        <v>0</v>
      </c>
      <c r="P26" s="210">
        <v>0</v>
      </c>
      <c r="Q26" s="210">
        <v>0</v>
      </c>
      <c r="R26" s="211">
        <f t="shared" si="9"/>
        <v>-641528.95110960875</v>
      </c>
    </row>
    <row r="27" spans="1:18" x14ac:dyDescent="0.25">
      <c r="A27" s="163">
        <v>8</v>
      </c>
      <c r="B27" s="202">
        <f t="shared" si="5"/>
        <v>43678</v>
      </c>
      <c r="C27" s="203">
        <v>43712</v>
      </c>
      <c r="D27" s="203">
        <v>43727</v>
      </c>
      <c r="E27" s="54" t="s">
        <v>21</v>
      </c>
      <c r="F27" s="163">
        <v>9</v>
      </c>
      <c r="G27" s="205">
        <v>4089</v>
      </c>
      <c r="H27" s="206">
        <f t="shared" si="1"/>
        <v>1696.78</v>
      </c>
      <c r="I27" s="206">
        <f t="shared" si="2"/>
        <v>1541.07</v>
      </c>
      <c r="J27" s="207">
        <f t="shared" si="3"/>
        <v>6301435.2299999995</v>
      </c>
      <c r="K27" s="214">
        <f t="shared" si="6"/>
        <v>6938133.4199999999</v>
      </c>
      <c r="L27" s="213">
        <f t="shared" si="4"/>
        <v>-636698.19000000041</v>
      </c>
      <c r="M27" s="210">
        <f t="shared" si="7"/>
        <v>-31976.773315623206</v>
      </c>
      <c r="N27" s="211">
        <f t="shared" si="8"/>
        <v>-668674.96331562358</v>
      </c>
      <c r="O27" s="210">
        <v>0</v>
      </c>
      <c r="P27" s="210">
        <v>0</v>
      </c>
      <c r="Q27" s="210">
        <v>0</v>
      </c>
      <c r="R27" s="211">
        <f t="shared" si="9"/>
        <v>-668674.96331562358</v>
      </c>
    </row>
    <row r="28" spans="1:18" x14ac:dyDescent="0.25">
      <c r="A28" s="163">
        <v>9</v>
      </c>
      <c r="B28" s="202">
        <f t="shared" si="5"/>
        <v>43709</v>
      </c>
      <c r="C28" s="203">
        <v>43741</v>
      </c>
      <c r="D28" s="203">
        <v>43756</v>
      </c>
      <c r="E28" s="54" t="s">
        <v>21</v>
      </c>
      <c r="F28" s="163">
        <v>9</v>
      </c>
      <c r="G28" s="205">
        <v>3731</v>
      </c>
      <c r="H28" s="206">
        <f t="shared" si="1"/>
        <v>1696.78</v>
      </c>
      <c r="I28" s="206">
        <f t="shared" si="2"/>
        <v>1541.07</v>
      </c>
      <c r="J28" s="207">
        <f t="shared" si="3"/>
        <v>5749732.1699999999</v>
      </c>
      <c r="K28" s="214">
        <f t="shared" si="6"/>
        <v>6330686.1799999997</v>
      </c>
      <c r="L28" s="213">
        <f t="shared" si="4"/>
        <v>-580954.00999999978</v>
      </c>
      <c r="M28" s="210">
        <f t="shared" si="7"/>
        <v>-29177.143859278596</v>
      </c>
      <c r="N28" s="211">
        <f t="shared" si="8"/>
        <v>-610131.15385927842</v>
      </c>
      <c r="O28" s="210">
        <v>0</v>
      </c>
      <c r="P28" s="210">
        <v>0</v>
      </c>
      <c r="Q28" s="210">
        <v>0</v>
      </c>
      <c r="R28" s="211">
        <f t="shared" si="9"/>
        <v>-610131.15385927842</v>
      </c>
    </row>
    <row r="29" spans="1:18" x14ac:dyDescent="0.25">
      <c r="A29" s="125">
        <v>10</v>
      </c>
      <c r="B29" s="202">
        <f t="shared" si="5"/>
        <v>43739</v>
      </c>
      <c r="C29" s="203">
        <v>43774</v>
      </c>
      <c r="D29" s="203">
        <v>43789</v>
      </c>
      <c r="E29" s="54" t="s">
        <v>21</v>
      </c>
      <c r="F29" s="163">
        <v>9</v>
      </c>
      <c r="G29" s="205">
        <v>3527</v>
      </c>
      <c r="H29" s="206">
        <f t="shared" si="1"/>
        <v>1696.78</v>
      </c>
      <c r="I29" s="206">
        <f t="shared" si="2"/>
        <v>1541.07</v>
      </c>
      <c r="J29" s="207">
        <f t="shared" si="3"/>
        <v>5435353.8899999997</v>
      </c>
      <c r="K29" s="214">
        <f t="shared" si="6"/>
        <v>5984543.0599999996</v>
      </c>
      <c r="L29" s="213">
        <f t="shared" si="4"/>
        <v>-549189.16999999993</v>
      </c>
      <c r="M29" s="210">
        <f t="shared" si="7"/>
        <v>-27581.824280802903</v>
      </c>
      <c r="N29" s="211">
        <f t="shared" si="8"/>
        <v>-576770.99428080278</v>
      </c>
      <c r="O29" s="210">
        <v>0</v>
      </c>
      <c r="P29" s="210">
        <v>0</v>
      </c>
      <c r="Q29" s="210">
        <v>0</v>
      </c>
      <c r="R29" s="211">
        <f t="shared" si="9"/>
        <v>-576770.99428080278</v>
      </c>
    </row>
    <row r="30" spans="1:18" x14ac:dyDescent="0.25">
      <c r="A30" s="163">
        <v>11</v>
      </c>
      <c r="B30" s="202">
        <f t="shared" si="5"/>
        <v>43770</v>
      </c>
      <c r="C30" s="203">
        <v>43803</v>
      </c>
      <c r="D30" s="203">
        <v>43818</v>
      </c>
      <c r="E30" s="54" t="s">
        <v>21</v>
      </c>
      <c r="F30" s="163">
        <v>9</v>
      </c>
      <c r="G30" s="205">
        <v>2569</v>
      </c>
      <c r="H30" s="206">
        <f t="shared" si="1"/>
        <v>1696.78</v>
      </c>
      <c r="I30" s="206">
        <f t="shared" si="2"/>
        <v>1541.07</v>
      </c>
      <c r="J30" s="207">
        <f t="shared" si="3"/>
        <v>3959008.8299999996</v>
      </c>
      <c r="K30" s="214">
        <f t="shared" si="6"/>
        <v>4359027.82</v>
      </c>
      <c r="L30" s="213">
        <f t="shared" si="4"/>
        <v>-400018.99000000069</v>
      </c>
      <c r="M30" s="210">
        <f t="shared" si="7"/>
        <v>-20090.078417176821</v>
      </c>
      <c r="N30" s="211">
        <f t="shared" si="8"/>
        <v>-420109.06841717754</v>
      </c>
      <c r="O30" s="210">
        <v>0</v>
      </c>
      <c r="P30" s="210">
        <v>0</v>
      </c>
      <c r="Q30" s="210">
        <v>0</v>
      </c>
      <c r="R30" s="211">
        <f t="shared" si="9"/>
        <v>-420109.06841717754</v>
      </c>
    </row>
    <row r="31" spans="1:18" x14ac:dyDescent="0.25">
      <c r="A31" s="163">
        <v>12</v>
      </c>
      <c r="B31" s="202">
        <f t="shared" si="5"/>
        <v>43800</v>
      </c>
      <c r="C31" s="215">
        <v>43833</v>
      </c>
      <c r="D31" s="216">
        <v>43850</v>
      </c>
      <c r="E31" s="54" t="s">
        <v>21</v>
      </c>
      <c r="F31" s="163">
        <v>9</v>
      </c>
      <c r="G31" s="217">
        <v>2599</v>
      </c>
      <c r="H31" s="218">
        <f t="shared" si="1"/>
        <v>1696.78</v>
      </c>
      <c r="I31" s="218">
        <f t="shared" si="2"/>
        <v>1541.07</v>
      </c>
      <c r="J31" s="219">
        <f t="shared" si="3"/>
        <v>4005240.9299999997</v>
      </c>
      <c r="K31" s="220">
        <f t="shared" si="6"/>
        <v>4409931.22</v>
      </c>
      <c r="L31" s="221">
        <f t="shared" si="4"/>
        <v>-404690.29000000004</v>
      </c>
      <c r="M31" s="210">
        <f t="shared" si="7"/>
        <v>-20324.684237540896</v>
      </c>
      <c r="N31" s="211">
        <f t="shared" si="8"/>
        <v>-425014.97423754091</v>
      </c>
      <c r="O31" s="210">
        <v>0</v>
      </c>
      <c r="P31" s="210">
        <v>0</v>
      </c>
      <c r="Q31" s="210">
        <v>0</v>
      </c>
      <c r="R31" s="211">
        <f t="shared" si="9"/>
        <v>-425014.97423754091</v>
      </c>
    </row>
    <row r="32" spans="1:18" x14ac:dyDescent="0.25">
      <c r="A32" s="125">
        <v>1</v>
      </c>
      <c r="B32" s="222">
        <f t="shared" si="5"/>
        <v>43466</v>
      </c>
      <c r="C32" s="223">
        <f t="shared" ref="C32:D43" si="10">+C20</f>
        <v>43501</v>
      </c>
      <c r="D32" s="223">
        <f t="shared" si="10"/>
        <v>43516</v>
      </c>
      <c r="E32" s="224" t="s">
        <v>22</v>
      </c>
      <c r="F32" s="225">
        <v>9</v>
      </c>
      <c r="G32" s="205">
        <v>2997</v>
      </c>
      <c r="H32" s="206">
        <f t="shared" si="1"/>
        <v>1696.78</v>
      </c>
      <c r="I32" s="206">
        <f t="shared" si="2"/>
        <v>1541.07</v>
      </c>
      <c r="J32" s="207">
        <f t="shared" si="3"/>
        <v>4618586.79</v>
      </c>
      <c r="K32" s="208">
        <f t="shared" si="6"/>
        <v>5085249.66</v>
      </c>
      <c r="L32" s="209">
        <f t="shared" si="4"/>
        <v>-466662.87000000011</v>
      </c>
      <c r="M32" s="210">
        <f t="shared" si="7"/>
        <v>-23437.121454370936</v>
      </c>
      <c r="N32" s="211">
        <f t="shared" si="8"/>
        <v>-490099.99145437102</v>
      </c>
      <c r="O32" s="210">
        <v>0</v>
      </c>
      <c r="P32" s="210">
        <v>0</v>
      </c>
      <c r="Q32" s="210">
        <v>0</v>
      </c>
      <c r="R32" s="211">
        <f t="shared" si="9"/>
        <v>-490099.99145437102</v>
      </c>
    </row>
    <row r="33" spans="1:18" x14ac:dyDescent="0.25">
      <c r="A33" s="163">
        <v>2</v>
      </c>
      <c r="B33" s="202">
        <f t="shared" si="5"/>
        <v>43497</v>
      </c>
      <c r="C33" s="226">
        <f t="shared" si="10"/>
        <v>43529</v>
      </c>
      <c r="D33" s="226">
        <f t="shared" si="10"/>
        <v>43544</v>
      </c>
      <c r="E33" s="212" t="s">
        <v>22</v>
      </c>
      <c r="F33" s="163">
        <v>9</v>
      </c>
      <c r="G33" s="205">
        <v>2891</v>
      </c>
      <c r="H33" s="206">
        <f t="shared" si="1"/>
        <v>1696.78</v>
      </c>
      <c r="I33" s="206">
        <f t="shared" si="2"/>
        <v>1541.07</v>
      </c>
      <c r="J33" s="207">
        <f t="shared" si="3"/>
        <v>4455233.37</v>
      </c>
      <c r="K33" s="208">
        <f t="shared" si="6"/>
        <v>4905390.9799999995</v>
      </c>
      <c r="L33" s="209">
        <f t="shared" si="4"/>
        <v>-450157.6099999994</v>
      </c>
      <c r="M33" s="210">
        <f t="shared" si="7"/>
        <v>-22608.180889084542</v>
      </c>
      <c r="N33" s="211">
        <f t="shared" si="8"/>
        <v>-472765.79088908393</v>
      </c>
      <c r="O33" s="210">
        <v>0</v>
      </c>
      <c r="P33" s="210">
        <v>0</v>
      </c>
      <c r="Q33" s="210">
        <v>0</v>
      </c>
      <c r="R33" s="211">
        <f t="shared" si="9"/>
        <v>-472765.79088908393</v>
      </c>
    </row>
    <row r="34" spans="1:18" x14ac:dyDescent="0.25">
      <c r="A34" s="163">
        <v>3</v>
      </c>
      <c r="B34" s="202">
        <f t="shared" si="5"/>
        <v>43525</v>
      </c>
      <c r="C34" s="226">
        <f t="shared" si="10"/>
        <v>43558</v>
      </c>
      <c r="D34" s="226">
        <f t="shared" si="10"/>
        <v>43573</v>
      </c>
      <c r="E34" s="212" t="s">
        <v>22</v>
      </c>
      <c r="F34" s="163">
        <v>9</v>
      </c>
      <c r="G34" s="205">
        <v>2972</v>
      </c>
      <c r="H34" s="206">
        <f t="shared" si="1"/>
        <v>1696.78</v>
      </c>
      <c r="I34" s="206">
        <f t="shared" si="2"/>
        <v>1541.07</v>
      </c>
      <c r="J34" s="207">
        <f t="shared" si="3"/>
        <v>4580060.04</v>
      </c>
      <c r="K34" s="208">
        <f t="shared" ref="K34:K93" si="11">+$G34*H34</f>
        <v>5042830.16</v>
      </c>
      <c r="L34" s="209">
        <f t="shared" si="4"/>
        <v>-462770.12000000011</v>
      </c>
      <c r="M34" s="210">
        <f t="shared" si="7"/>
        <v>-23241.616604067542</v>
      </c>
      <c r="N34" s="211">
        <f t="shared" si="8"/>
        <v>-486011.73660406767</v>
      </c>
      <c r="O34" s="210">
        <v>0</v>
      </c>
      <c r="P34" s="210">
        <v>0</v>
      </c>
      <c r="Q34" s="210">
        <v>0</v>
      </c>
      <c r="R34" s="211">
        <f t="shared" si="9"/>
        <v>-486011.73660406767</v>
      </c>
    </row>
    <row r="35" spans="1:18" x14ac:dyDescent="0.25">
      <c r="A35" s="125">
        <v>4</v>
      </c>
      <c r="B35" s="202">
        <f t="shared" si="5"/>
        <v>43556</v>
      </c>
      <c r="C35" s="226">
        <f t="shared" si="10"/>
        <v>43588</v>
      </c>
      <c r="D35" s="226">
        <f t="shared" si="10"/>
        <v>43605</v>
      </c>
      <c r="E35" s="212" t="s">
        <v>22</v>
      </c>
      <c r="F35" s="163">
        <v>9</v>
      </c>
      <c r="G35" s="205">
        <v>2449</v>
      </c>
      <c r="H35" s="206">
        <f t="shared" si="1"/>
        <v>1696.78</v>
      </c>
      <c r="I35" s="206">
        <f t="shared" si="2"/>
        <v>1541.07</v>
      </c>
      <c r="J35" s="207">
        <f t="shared" si="3"/>
        <v>3774080.4299999997</v>
      </c>
      <c r="K35" s="208">
        <f t="shared" si="11"/>
        <v>4155414.2199999997</v>
      </c>
      <c r="L35" s="209">
        <f t="shared" ref="L35:L57" si="12">+J35-K35</f>
        <v>-381333.79000000004</v>
      </c>
      <c r="M35" s="210">
        <f t="shared" si="7"/>
        <v>-19151.655135720528</v>
      </c>
      <c r="N35" s="211">
        <f t="shared" si="8"/>
        <v>-400485.44513572054</v>
      </c>
      <c r="O35" s="210">
        <v>0</v>
      </c>
      <c r="P35" s="210">
        <v>0</v>
      </c>
      <c r="Q35" s="210">
        <v>0</v>
      </c>
      <c r="R35" s="211">
        <f t="shared" si="9"/>
        <v>-400485.44513572054</v>
      </c>
    </row>
    <row r="36" spans="1:18" x14ac:dyDescent="0.25">
      <c r="A36" s="163">
        <v>5</v>
      </c>
      <c r="B36" s="202">
        <f t="shared" si="5"/>
        <v>43586</v>
      </c>
      <c r="C36" s="226">
        <f t="shared" si="10"/>
        <v>43621</v>
      </c>
      <c r="D36" s="226">
        <f t="shared" si="10"/>
        <v>43636</v>
      </c>
      <c r="E36" s="54" t="s">
        <v>22</v>
      </c>
      <c r="F36" s="163">
        <v>9</v>
      </c>
      <c r="G36" s="205">
        <v>3052</v>
      </c>
      <c r="H36" s="206">
        <f t="shared" si="1"/>
        <v>1696.78</v>
      </c>
      <c r="I36" s="206">
        <f t="shared" si="2"/>
        <v>1541.07</v>
      </c>
      <c r="J36" s="207">
        <f t="shared" si="3"/>
        <v>4703345.6399999997</v>
      </c>
      <c r="K36" s="208">
        <f t="shared" si="11"/>
        <v>5178572.5599999996</v>
      </c>
      <c r="L36" s="209">
        <f t="shared" si="12"/>
        <v>-475226.91999999993</v>
      </c>
      <c r="M36" s="210">
        <f t="shared" si="7"/>
        <v>-23867.232125038405</v>
      </c>
      <c r="N36" s="211">
        <f t="shared" si="8"/>
        <v>-499094.15212503832</v>
      </c>
      <c r="O36" s="210">
        <v>0</v>
      </c>
      <c r="P36" s="210">
        <v>0</v>
      </c>
      <c r="Q36" s="210">
        <v>0</v>
      </c>
      <c r="R36" s="211">
        <f t="shared" si="9"/>
        <v>-499094.15212503832</v>
      </c>
    </row>
    <row r="37" spans="1:18" x14ac:dyDescent="0.25">
      <c r="A37" s="163">
        <v>6</v>
      </c>
      <c r="B37" s="202">
        <f t="shared" si="5"/>
        <v>43617</v>
      </c>
      <c r="C37" s="226">
        <f t="shared" si="10"/>
        <v>43649</v>
      </c>
      <c r="D37" s="226">
        <f t="shared" si="10"/>
        <v>43664</v>
      </c>
      <c r="E37" s="54" t="s">
        <v>22</v>
      </c>
      <c r="F37" s="163">
        <v>9</v>
      </c>
      <c r="G37" s="205">
        <v>3362</v>
      </c>
      <c r="H37" s="206">
        <f t="shared" si="1"/>
        <v>1696.78</v>
      </c>
      <c r="I37" s="206">
        <f t="shared" si="2"/>
        <v>1541.07</v>
      </c>
      <c r="J37" s="207">
        <f t="shared" si="3"/>
        <v>5181077.34</v>
      </c>
      <c r="K37" s="208">
        <f t="shared" si="11"/>
        <v>5704574.3600000003</v>
      </c>
      <c r="L37" s="213">
        <f t="shared" si="12"/>
        <v>-523497.02000000048</v>
      </c>
      <c r="M37" s="210">
        <f t="shared" si="7"/>
        <v>-26291.492268800499</v>
      </c>
      <c r="N37" s="211">
        <f t="shared" si="8"/>
        <v>-549788.51226880099</v>
      </c>
      <c r="O37" s="210">
        <v>0</v>
      </c>
      <c r="P37" s="210">
        <v>0</v>
      </c>
      <c r="Q37" s="210">
        <v>0</v>
      </c>
      <c r="R37" s="211">
        <f t="shared" si="9"/>
        <v>-549788.51226880099</v>
      </c>
    </row>
    <row r="38" spans="1:18" x14ac:dyDescent="0.25">
      <c r="A38" s="125">
        <v>7</v>
      </c>
      <c r="B38" s="202">
        <f t="shared" si="5"/>
        <v>43647</v>
      </c>
      <c r="C38" s="226">
        <f t="shared" si="10"/>
        <v>43682</v>
      </c>
      <c r="D38" s="226">
        <f t="shared" si="10"/>
        <v>43697</v>
      </c>
      <c r="E38" s="54" t="s">
        <v>22</v>
      </c>
      <c r="F38" s="163">
        <v>9</v>
      </c>
      <c r="G38" s="205">
        <v>3457</v>
      </c>
      <c r="H38" s="206">
        <f t="shared" si="1"/>
        <v>1696.78</v>
      </c>
      <c r="I38" s="206">
        <f t="shared" si="2"/>
        <v>1541.07</v>
      </c>
      <c r="J38" s="207">
        <f t="shared" si="3"/>
        <v>5327478.99</v>
      </c>
      <c r="K38" s="214">
        <f t="shared" si="11"/>
        <v>5865768.46</v>
      </c>
      <c r="L38" s="213">
        <f t="shared" si="12"/>
        <v>-538289.46999999974</v>
      </c>
      <c r="M38" s="210">
        <f t="shared" si="7"/>
        <v>-27034.410699953398</v>
      </c>
      <c r="N38" s="211">
        <f t="shared" si="8"/>
        <v>-565323.88069995318</v>
      </c>
      <c r="O38" s="210">
        <v>0</v>
      </c>
      <c r="P38" s="210">
        <v>0</v>
      </c>
      <c r="Q38" s="210">
        <v>0</v>
      </c>
      <c r="R38" s="211">
        <f t="shared" si="9"/>
        <v>-565323.88069995318</v>
      </c>
    </row>
    <row r="39" spans="1:18" x14ac:dyDescent="0.25">
      <c r="A39" s="163">
        <v>8</v>
      </c>
      <c r="B39" s="202">
        <f t="shared" si="5"/>
        <v>43678</v>
      </c>
      <c r="C39" s="226">
        <f t="shared" si="10"/>
        <v>43712</v>
      </c>
      <c r="D39" s="226">
        <f t="shared" si="10"/>
        <v>43727</v>
      </c>
      <c r="E39" s="54" t="s">
        <v>22</v>
      </c>
      <c r="F39" s="163">
        <v>9</v>
      </c>
      <c r="G39" s="205">
        <v>3664</v>
      </c>
      <c r="H39" s="206">
        <f t="shared" si="1"/>
        <v>1696.78</v>
      </c>
      <c r="I39" s="206">
        <f t="shared" si="2"/>
        <v>1541.07</v>
      </c>
      <c r="J39" s="207">
        <f t="shared" si="3"/>
        <v>5646480.4799999995</v>
      </c>
      <c r="K39" s="214">
        <f t="shared" si="11"/>
        <v>6217001.9199999999</v>
      </c>
      <c r="L39" s="213">
        <f t="shared" si="12"/>
        <v>-570521.44000000041</v>
      </c>
      <c r="M39" s="210">
        <f t="shared" si="7"/>
        <v>-28653.1908604655</v>
      </c>
      <c r="N39" s="211">
        <f t="shared" si="8"/>
        <v>-599174.63086046593</v>
      </c>
      <c r="O39" s="210">
        <v>0</v>
      </c>
      <c r="P39" s="210">
        <v>0</v>
      </c>
      <c r="Q39" s="210">
        <v>0</v>
      </c>
      <c r="R39" s="211">
        <f t="shared" si="9"/>
        <v>-599174.63086046593</v>
      </c>
    </row>
    <row r="40" spans="1:18" x14ac:dyDescent="0.25">
      <c r="A40" s="163">
        <v>9</v>
      </c>
      <c r="B40" s="202">
        <f t="shared" si="5"/>
        <v>43709</v>
      </c>
      <c r="C40" s="226">
        <f t="shared" si="10"/>
        <v>43741</v>
      </c>
      <c r="D40" s="226">
        <f t="shared" si="10"/>
        <v>43756</v>
      </c>
      <c r="E40" s="54" t="s">
        <v>22</v>
      </c>
      <c r="F40" s="163">
        <v>9</v>
      </c>
      <c r="G40" s="205">
        <v>3474</v>
      </c>
      <c r="H40" s="206">
        <f t="shared" si="1"/>
        <v>1696.78</v>
      </c>
      <c r="I40" s="206">
        <f t="shared" si="2"/>
        <v>1541.07</v>
      </c>
      <c r="J40" s="207">
        <f t="shared" si="3"/>
        <v>5353677.18</v>
      </c>
      <c r="K40" s="214">
        <f t="shared" si="11"/>
        <v>5894613.7199999997</v>
      </c>
      <c r="L40" s="213">
        <f t="shared" si="12"/>
        <v>-540936.54</v>
      </c>
      <c r="M40" s="210">
        <f t="shared" si="7"/>
        <v>-27167.353998159706</v>
      </c>
      <c r="N40" s="211">
        <f t="shared" si="8"/>
        <v>-568103.89399815979</v>
      </c>
      <c r="O40" s="210">
        <v>0</v>
      </c>
      <c r="P40" s="210">
        <v>0</v>
      </c>
      <c r="Q40" s="210">
        <v>0</v>
      </c>
      <c r="R40" s="211">
        <f t="shared" si="9"/>
        <v>-568103.89399815979</v>
      </c>
    </row>
    <row r="41" spans="1:18" x14ac:dyDescent="0.25">
      <c r="A41" s="125">
        <v>10</v>
      </c>
      <c r="B41" s="202">
        <f t="shared" si="5"/>
        <v>43739</v>
      </c>
      <c r="C41" s="226">
        <f t="shared" si="10"/>
        <v>43774</v>
      </c>
      <c r="D41" s="226">
        <f t="shared" si="10"/>
        <v>43789</v>
      </c>
      <c r="E41" s="54" t="s">
        <v>22</v>
      </c>
      <c r="F41" s="163">
        <v>9</v>
      </c>
      <c r="G41" s="205">
        <v>3301</v>
      </c>
      <c r="H41" s="206">
        <f t="shared" si="1"/>
        <v>1696.78</v>
      </c>
      <c r="I41" s="206">
        <f t="shared" si="2"/>
        <v>1541.07</v>
      </c>
      <c r="J41" s="207">
        <f t="shared" si="3"/>
        <v>5087072.0699999994</v>
      </c>
      <c r="K41" s="214">
        <f t="shared" si="11"/>
        <v>5601070.7800000003</v>
      </c>
      <c r="L41" s="213">
        <f t="shared" si="12"/>
        <v>-513998.71000000089</v>
      </c>
      <c r="M41" s="210">
        <f t="shared" si="7"/>
        <v>-25814.460434060216</v>
      </c>
      <c r="N41" s="211">
        <f t="shared" si="8"/>
        <v>-539813.17043406109</v>
      </c>
      <c r="O41" s="210">
        <v>0</v>
      </c>
      <c r="P41" s="210">
        <v>0</v>
      </c>
      <c r="Q41" s="210">
        <v>0</v>
      </c>
      <c r="R41" s="211">
        <f t="shared" si="9"/>
        <v>-539813.17043406109</v>
      </c>
    </row>
    <row r="42" spans="1:18" x14ac:dyDescent="0.25">
      <c r="A42" s="163">
        <v>11</v>
      </c>
      <c r="B42" s="202">
        <f t="shared" si="5"/>
        <v>43770</v>
      </c>
      <c r="C42" s="226">
        <f t="shared" si="10"/>
        <v>43803</v>
      </c>
      <c r="D42" s="226">
        <f t="shared" si="10"/>
        <v>43818</v>
      </c>
      <c r="E42" s="54" t="s">
        <v>22</v>
      </c>
      <c r="F42" s="163">
        <v>9</v>
      </c>
      <c r="G42" s="205">
        <v>2932</v>
      </c>
      <c r="H42" s="206">
        <f t="shared" si="1"/>
        <v>1696.78</v>
      </c>
      <c r="I42" s="206">
        <f t="shared" si="2"/>
        <v>1541.07</v>
      </c>
      <c r="J42" s="207">
        <f t="shared" si="3"/>
        <v>4518417.24</v>
      </c>
      <c r="K42" s="214">
        <f t="shared" si="11"/>
        <v>4974958.96</v>
      </c>
      <c r="L42" s="213">
        <f t="shared" si="12"/>
        <v>-456541.71999999974</v>
      </c>
      <c r="M42" s="210">
        <f t="shared" si="7"/>
        <v>-22928.808843582112</v>
      </c>
      <c r="N42" s="211">
        <f t="shared" si="8"/>
        <v>-479470.52884358185</v>
      </c>
      <c r="O42" s="210">
        <v>0</v>
      </c>
      <c r="P42" s="210">
        <v>0</v>
      </c>
      <c r="Q42" s="210">
        <v>0</v>
      </c>
      <c r="R42" s="211">
        <f t="shared" si="9"/>
        <v>-479470.52884358185</v>
      </c>
    </row>
    <row r="43" spans="1:18" x14ac:dyDescent="0.25">
      <c r="A43" s="163">
        <v>12</v>
      </c>
      <c r="B43" s="202">
        <f t="shared" si="5"/>
        <v>43800</v>
      </c>
      <c r="C43" s="226">
        <f t="shared" si="10"/>
        <v>43833</v>
      </c>
      <c r="D43" s="226">
        <f t="shared" si="10"/>
        <v>43850</v>
      </c>
      <c r="E43" s="54" t="s">
        <v>22</v>
      </c>
      <c r="F43" s="163">
        <v>9</v>
      </c>
      <c r="G43" s="217">
        <v>2839</v>
      </c>
      <c r="H43" s="206">
        <f t="shared" si="1"/>
        <v>1696.78</v>
      </c>
      <c r="I43" s="218">
        <f t="shared" si="2"/>
        <v>1541.07</v>
      </c>
      <c r="J43" s="219">
        <f t="shared" si="3"/>
        <v>4375097.7299999995</v>
      </c>
      <c r="K43" s="220">
        <f t="shared" si="11"/>
        <v>4817158.42</v>
      </c>
      <c r="L43" s="221">
        <f t="shared" si="12"/>
        <v>-442060.69000000041</v>
      </c>
      <c r="M43" s="210">
        <f t="shared" si="7"/>
        <v>-22201.530800453482</v>
      </c>
      <c r="N43" s="211">
        <f t="shared" si="8"/>
        <v>-464262.22080045391</v>
      </c>
      <c r="O43" s="210">
        <v>0</v>
      </c>
      <c r="P43" s="210">
        <v>0</v>
      </c>
      <c r="Q43" s="210">
        <v>0</v>
      </c>
      <c r="R43" s="211">
        <f t="shared" si="9"/>
        <v>-464262.22080045391</v>
      </c>
    </row>
    <row r="44" spans="1:18" x14ac:dyDescent="0.25">
      <c r="A44" s="125">
        <v>1</v>
      </c>
      <c r="B44" s="222">
        <f t="shared" ref="B44:B55" si="13">DATE($R$1,A44,1)</f>
        <v>43466</v>
      </c>
      <c r="C44" s="223">
        <f t="shared" ref="C44:D55" si="14">+C32</f>
        <v>43501</v>
      </c>
      <c r="D44" s="223">
        <f t="shared" si="14"/>
        <v>43516</v>
      </c>
      <c r="E44" s="224" t="s">
        <v>81</v>
      </c>
      <c r="F44" s="225">
        <v>9</v>
      </c>
      <c r="G44" s="205">
        <v>157</v>
      </c>
      <c r="H44" s="206">
        <f t="shared" si="1"/>
        <v>1696.78</v>
      </c>
      <c r="I44" s="206">
        <f t="shared" si="2"/>
        <v>1541.07</v>
      </c>
      <c r="J44" s="210">
        <f t="shared" ref="J44:J55" si="15">+$G44*I44</f>
        <v>241947.99</v>
      </c>
      <c r="K44" s="214">
        <f t="shared" ref="K44:K55" si="16">+$G44*H44</f>
        <v>266394.46000000002</v>
      </c>
      <c r="L44" s="213">
        <f t="shared" ref="L44:L55" si="17">+J44-K44</f>
        <v>-24446.47000000003</v>
      </c>
      <c r="M44" s="210">
        <f t="shared" si="7"/>
        <v>-1227.7704599053177</v>
      </c>
      <c r="N44" s="211">
        <f t="shared" si="8"/>
        <v>-25674.240459905348</v>
      </c>
      <c r="O44" s="210">
        <v>0</v>
      </c>
      <c r="P44" s="210">
        <v>0</v>
      </c>
      <c r="Q44" s="210">
        <v>0</v>
      </c>
      <c r="R44" s="211">
        <f t="shared" si="9"/>
        <v>-25674.240459905348</v>
      </c>
    </row>
    <row r="45" spans="1:18" x14ac:dyDescent="0.25">
      <c r="A45" s="163">
        <v>2</v>
      </c>
      <c r="B45" s="202">
        <f t="shared" si="13"/>
        <v>43497</v>
      </c>
      <c r="C45" s="226">
        <f t="shared" si="14"/>
        <v>43529</v>
      </c>
      <c r="D45" s="226">
        <f t="shared" si="14"/>
        <v>43544</v>
      </c>
      <c r="E45" s="212" t="s">
        <v>81</v>
      </c>
      <c r="F45" s="163">
        <v>9</v>
      </c>
      <c r="G45" s="205">
        <v>138</v>
      </c>
      <c r="H45" s="206">
        <f t="shared" si="1"/>
        <v>1696.78</v>
      </c>
      <c r="I45" s="206">
        <f t="shared" si="2"/>
        <v>1541.07</v>
      </c>
      <c r="J45" s="210">
        <f t="shared" si="15"/>
        <v>212667.66</v>
      </c>
      <c r="K45" s="214">
        <f t="shared" si="16"/>
        <v>234155.63999999998</v>
      </c>
      <c r="L45" s="213">
        <f t="shared" si="17"/>
        <v>-21487.979999999981</v>
      </c>
      <c r="M45" s="210">
        <f t="shared" si="7"/>
        <v>-1079.1867736747377</v>
      </c>
      <c r="N45" s="211">
        <f t="shared" si="8"/>
        <v>-22567.166773674719</v>
      </c>
      <c r="O45" s="210">
        <v>0</v>
      </c>
      <c r="P45" s="210">
        <v>0</v>
      </c>
      <c r="Q45" s="210">
        <v>0</v>
      </c>
      <c r="R45" s="211">
        <f t="shared" si="9"/>
        <v>-22567.166773674719</v>
      </c>
    </row>
    <row r="46" spans="1:18" x14ac:dyDescent="0.25">
      <c r="A46" s="163">
        <v>3</v>
      </c>
      <c r="B46" s="202">
        <f t="shared" si="13"/>
        <v>43525</v>
      </c>
      <c r="C46" s="226">
        <f t="shared" si="14"/>
        <v>43558</v>
      </c>
      <c r="D46" s="226">
        <f t="shared" si="14"/>
        <v>43573</v>
      </c>
      <c r="E46" s="212" t="s">
        <v>81</v>
      </c>
      <c r="F46" s="163">
        <v>9</v>
      </c>
      <c r="G46" s="205">
        <v>153</v>
      </c>
      <c r="H46" s="206">
        <f t="shared" si="1"/>
        <v>1696.78</v>
      </c>
      <c r="I46" s="206">
        <f t="shared" si="2"/>
        <v>1541.07</v>
      </c>
      <c r="J46" s="210">
        <f t="shared" si="15"/>
        <v>235783.71</v>
      </c>
      <c r="K46" s="214">
        <f t="shared" si="16"/>
        <v>259607.34</v>
      </c>
      <c r="L46" s="213">
        <f t="shared" si="17"/>
        <v>-23823.630000000005</v>
      </c>
      <c r="M46" s="210">
        <f t="shared" si="7"/>
        <v>-1196.4896838567745</v>
      </c>
      <c r="N46" s="211">
        <f t="shared" si="8"/>
        <v>-25020.119683856778</v>
      </c>
      <c r="O46" s="210">
        <v>0</v>
      </c>
      <c r="P46" s="210">
        <v>0</v>
      </c>
      <c r="Q46" s="210">
        <v>0</v>
      </c>
      <c r="R46" s="211">
        <f t="shared" si="9"/>
        <v>-25020.119683856778</v>
      </c>
    </row>
    <row r="47" spans="1:18" x14ac:dyDescent="0.25">
      <c r="A47" s="125">
        <v>4</v>
      </c>
      <c r="B47" s="202">
        <f t="shared" si="13"/>
        <v>43556</v>
      </c>
      <c r="C47" s="226">
        <f t="shared" si="14"/>
        <v>43588</v>
      </c>
      <c r="D47" s="226">
        <f t="shared" si="14"/>
        <v>43605</v>
      </c>
      <c r="E47" s="212" t="s">
        <v>81</v>
      </c>
      <c r="F47" s="163">
        <v>9</v>
      </c>
      <c r="G47" s="205">
        <v>85</v>
      </c>
      <c r="H47" s="206">
        <f t="shared" si="1"/>
        <v>1696.78</v>
      </c>
      <c r="I47" s="206">
        <f t="shared" si="2"/>
        <v>1541.07</v>
      </c>
      <c r="J47" s="210">
        <f t="shared" si="15"/>
        <v>130990.95</v>
      </c>
      <c r="K47" s="214">
        <f t="shared" si="16"/>
        <v>144226.29999999999</v>
      </c>
      <c r="L47" s="213">
        <f t="shared" si="17"/>
        <v>-13235.349999999991</v>
      </c>
      <c r="M47" s="210">
        <f t="shared" si="7"/>
        <v>-664.71649103154141</v>
      </c>
      <c r="N47" s="211">
        <f t="shared" si="8"/>
        <v>-13900.066491031532</v>
      </c>
      <c r="O47" s="210">
        <v>0</v>
      </c>
      <c r="P47" s="210">
        <v>0</v>
      </c>
      <c r="Q47" s="210">
        <v>0</v>
      </c>
      <c r="R47" s="211">
        <f t="shared" si="9"/>
        <v>-13900.066491031532</v>
      </c>
    </row>
    <row r="48" spans="1:18" x14ac:dyDescent="0.25">
      <c r="A48" s="163">
        <v>5</v>
      </c>
      <c r="B48" s="202">
        <f t="shared" si="13"/>
        <v>43586</v>
      </c>
      <c r="C48" s="226">
        <f t="shared" si="14"/>
        <v>43621</v>
      </c>
      <c r="D48" s="226">
        <f t="shared" si="14"/>
        <v>43636</v>
      </c>
      <c r="E48" s="212" t="s">
        <v>81</v>
      </c>
      <c r="F48" s="163">
        <v>9</v>
      </c>
      <c r="G48" s="205">
        <v>115</v>
      </c>
      <c r="H48" s="206">
        <f t="shared" si="1"/>
        <v>1696.78</v>
      </c>
      <c r="I48" s="206">
        <f t="shared" si="2"/>
        <v>1541.07</v>
      </c>
      <c r="J48" s="210">
        <f t="shared" si="15"/>
        <v>177223.05</v>
      </c>
      <c r="K48" s="214">
        <f t="shared" si="16"/>
        <v>195129.69999999998</v>
      </c>
      <c r="L48" s="213">
        <f t="shared" si="17"/>
        <v>-17906.649999999994</v>
      </c>
      <c r="M48" s="210">
        <f t="shared" si="7"/>
        <v>-899.32231139561475</v>
      </c>
      <c r="N48" s="211">
        <f t="shared" si="8"/>
        <v>-18805.97231139561</v>
      </c>
      <c r="O48" s="210">
        <v>0</v>
      </c>
      <c r="P48" s="210">
        <v>0</v>
      </c>
      <c r="Q48" s="210">
        <v>0</v>
      </c>
      <c r="R48" s="211">
        <f t="shared" si="9"/>
        <v>-18805.97231139561</v>
      </c>
    </row>
    <row r="49" spans="1:18" x14ac:dyDescent="0.25">
      <c r="A49" s="163">
        <v>6</v>
      </c>
      <c r="B49" s="202">
        <f t="shared" si="13"/>
        <v>43617</v>
      </c>
      <c r="C49" s="226">
        <f t="shared" si="14"/>
        <v>43649</v>
      </c>
      <c r="D49" s="226">
        <f t="shared" si="14"/>
        <v>43664</v>
      </c>
      <c r="E49" s="212" t="s">
        <v>81</v>
      </c>
      <c r="F49" s="163">
        <v>9</v>
      </c>
      <c r="G49" s="205">
        <v>119</v>
      </c>
      <c r="H49" s="206">
        <f t="shared" si="1"/>
        <v>1696.78</v>
      </c>
      <c r="I49" s="206">
        <f t="shared" si="2"/>
        <v>1541.07</v>
      </c>
      <c r="J49" s="210">
        <f t="shared" si="15"/>
        <v>183387.33</v>
      </c>
      <c r="K49" s="214">
        <f t="shared" si="16"/>
        <v>201916.82</v>
      </c>
      <c r="L49" s="213">
        <f t="shared" si="17"/>
        <v>-18529.49000000002</v>
      </c>
      <c r="M49" s="210">
        <f t="shared" si="7"/>
        <v>-930.60308744415806</v>
      </c>
      <c r="N49" s="211">
        <f t="shared" si="8"/>
        <v>-19460.093087444176</v>
      </c>
      <c r="O49" s="210">
        <v>0</v>
      </c>
      <c r="P49" s="210">
        <v>0</v>
      </c>
      <c r="Q49" s="210">
        <v>0</v>
      </c>
      <c r="R49" s="211">
        <f t="shared" si="9"/>
        <v>-19460.093087444176</v>
      </c>
    </row>
    <row r="50" spans="1:18" x14ac:dyDescent="0.25">
      <c r="A50" s="125">
        <v>7</v>
      </c>
      <c r="B50" s="202">
        <f t="shared" si="13"/>
        <v>43647</v>
      </c>
      <c r="C50" s="226">
        <f t="shared" si="14"/>
        <v>43682</v>
      </c>
      <c r="D50" s="226">
        <f t="shared" si="14"/>
        <v>43697</v>
      </c>
      <c r="E50" s="212" t="s">
        <v>81</v>
      </c>
      <c r="F50" s="163">
        <v>9</v>
      </c>
      <c r="G50" s="205">
        <v>136</v>
      </c>
      <c r="H50" s="206">
        <f t="shared" si="1"/>
        <v>1696.78</v>
      </c>
      <c r="I50" s="206">
        <f t="shared" si="2"/>
        <v>1541.07</v>
      </c>
      <c r="J50" s="210">
        <f t="shared" si="15"/>
        <v>209585.52</v>
      </c>
      <c r="K50" s="214">
        <f t="shared" si="16"/>
        <v>230762.08</v>
      </c>
      <c r="L50" s="213">
        <f t="shared" si="17"/>
        <v>-21176.559999999998</v>
      </c>
      <c r="M50" s="210">
        <f t="shared" si="7"/>
        <v>-1063.5463856504664</v>
      </c>
      <c r="N50" s="211">
        <f t="shared" si="8"/>
        <v>-22240.106385650462</v>
      </c>
      <c r="O50" s="210">
        <v>0</v>
      </c>
      <c r="P50" s="210">
        <v>0</v>
      </c>
      <c r="Q50" s="210">
        <v>0</v>
      </c>
      <c r="R50" s="211">
        <f t="shared" si="9"/>
        <v>-22240.106385650462</v>
      </c>
    </row>
    <row r="51" spans="1:18" x14ac:dyDescent="0.25">
      <c r="A51" s="163">
        <v>8</v>
      </c>
      <c r="B51" s="202">
        <f t="shared" si="13"/>
        <v>43678</v>
      </c>
      <c r="C51" s="226">
        <f t="shared" si="14"/>
        <v>43712</v>
      </c>
      <c r="D51" s="226">
        <f t="shared" si="14"/>
        <v>43727</v>
      </c>
      <c r="E51" s="212" t="s">
        <v>81</v>
      </c>
      <c r="F51" s="163">
        <v>9</v>
      </c>
      <c r="G51" s="205">
        <v>141</v>
      </c>
      <c r="H51" s="206">
        <f t="shared" si="1"/>
        <v>1696.78</v>
      </c>
      <c r="I51" s="206">
        <f t="shared" si="2"/>
        <v>1541.07</v>
      </c>
      <c r="J51" s="210">
        <f t="shared" si="15"/>
        <v>217290.87</v>
      </c>
      <c r="K51" s="214">
        <f t="shared" si="16"/>
        <v>239245.98</v>
      </c>
      <c r="L51" s="213">
        <f t="shared" si="17"/>
        <v>-21955.110000000015</v>
      </c>
      <c r="M51" s="210">
        <f t="shared" si="7"/>
        <v>-1102.6473557111451</v>
      </c>
      <c r="N51" s="211">
        <f t="shared" si="8"/>
        <v>-23057.757355711161</v>
      </c>
      <c r="O51" s="210">
        <v>0</v>
      </c>
      <c r="P51" s="210">
        <v>0</v>
      </c>
      <c r="Q51" s="210">
        <v>0</v>
      </c>
      <c r="R51" s="211">
        <f t="shared" si="9"/>
        <v>-23057.757355711161</v>
      </c>
    </row>
    <row r="52" spans="1:18" x14ac:dyDescent="0.25">
      <c r="A52" s="163">
        <v>9</v>
      </c>
      <c r="B52" s="202">
        <f t="shared" si="13"/>
        <v>43709</v>
      </c>
      <c r="C52" s="226">
        <f t="shared" si="14"/>
        <v>43741</v>
      </c>
      <c r="D52" s="226">
        <f t="shared" si="14"/>
        <v>43756</v>
      </c>
      <c r="E52" s="212" t="s">
        <v>81</v>
      </c>
      <c r="F52" s="163">
        <v>9</v>
      </c>
      <c r="G52" s="205">
        <v>137</v>
      </c>
      <c r="H52" s="206">
        <f t="shared" si="1"/>
        <v>1696.78</v>
      </c>
      <c r="I52" s="206">
        <f t="shared" si="2"/>
        <v>1541.07</v>
      </c>
      <c r="J52" s="210">
        <f t="shared" si="15"/>
        <v>211126.59</v>
      </c>
      <c r="K52" s="214">
        <f t="shared" si="16"/>
        <v>232458.86</v>
      </c>
      <c r="L52" s="213">
        <f t="shared" si="17"/>
        <v>-21332.26999999999</v>
      </c>
      <c r="M52" s="210">
        <f t="shared" si="7"/>
        <v>-1071.3665796626019</v>
      </c>
      <c r="N52" s="211">
        <f t="shared" si="8"/>
        <v>-22403.636579662591</v>
      </c>
      <c r="O52" s="210">
        <v>0</v>
      </c>
      <c r="P52" s="210">
        <v>0</v>
      </c>
      <c r="Q52" s="210">
        <v>0</v>
      </c>
      <c r="R52" s="211">
        <f t="shared" si="9"/>
        <v>-22403.636579662591</v>
      </c>
    </row>
    <row r="53" spans="1:18" x14ac:dyDescent="0.25">
      <c r="A53" s="125">
        <v>10</v>
      </c>
      <c r="B53" s="202">
        <f t="shared" si="13"/>
        <v>43739</v>
      </c>
      <c r="C53" s="226">
        <f t="shared" si="14"/>
        <v>43774</v>
      </c>
      <c r="D53" s="226">
        <f t="shared" si="14"/>
        <v>43789</v>
      </c>
      <c r="E53" s="212" t="s">
        <v>81</v>
      </c>
      <c r="F53" s="163">
        <v>9</v>
      </c>
      <c r="G53" s="205">
        <v>125</v>
      </c>
      <c r="H53" s="206">
        <f t="shared" si="1"/>
        <v>1696.78</v>
      </c>
      <c r="I53" s="206">
        <f t="shared" si="2"/>
        <v>1541.07</v>
      </c>
      <c r="J53" s="210">
        <f t="shared" si="15"/>
        <v>192633.75</v>
      </c>
      <c r="K53" s="214">
        <f t="shared" si="16"/>
        <v>212097.5</v>
      </c>
      <c r="L53" s="213">
        <f t="shared" si="17"/>
        <v>-19463.75</v>
      </c>
      <c r="M53" s="210">
        <f t="shared" si="7"/>
        <v>-977.52425151697253</v>
      </c>
      <c r="N53" s="211">
        <f t="shared" si="8"/>
        <v>-20441.274251516974</v>
      </c>
      <c r="O53" s="210">
        <v>0</v>
      </c>
      <c r="P53" s="210">
        <v>0</v>
      </c>
      <c r="Q53" s="210">
        <v>0</v>
      </c>
      <c r="R53" s="211">
        <f t="shared" si="9"/>
        <v>-20441.274251516974</v>
      </c>
    </row>
    <row r="54" spans="1:18" x14ac:dyDescent="0.25">
      <c r="A54" s="163">
        <v>11</v>
      </c>
      <c r="B54" s="202">
        <f t="shared" si="13"/>
        <v>43770</v>
      </c>
      <c r="C54" s="226">
        <f t="shared" si="14"/>
        <v>43803</v>
      </c>
      <c r="D54" s="226">
        <f t="shared" si="14"/>
        <v>43818</v>
      </c>
      <c r="E54" s="212" t="s">
        <v>81</v>
      </c>
      <c r="F54" s="163">
        <v>9</v>
      </c>
      <c r="G54" s="205">
        <v>157</v>
      </c>
      <c r="H54" s="206">
        <f t="shared" si="1"/>
        <v>1696.78</v>
      </c>
      <c r="I54" s="206">
        <f t="shared" si="2"/>
        <v>1541.07</v>
      </c>
      <c r="J54" s="210">
        <f t="shared" si="15"/>
        <v>241947.99</v>
      </c>
      <c r="K54" s="214">
        <f t="shared" si="16"/>
        <v>266394.46000000002</v>
      </c>
      <c r="L54" s="213">
        <f t="shared" si="17"/>
        <v>-24446.47000000003</v>
      </c>
      <c r="M54" s="210">
        <f t="shared" si="7"/>
        <v>-1227.7704599053177</v>
      </c>
      <c r="N54" s="211">
        <f t="shared" si="8"/>
        <v>-25674.240459905348</v>
      </c>
      <c r="O54" s="210">
        <v>0</v>
      </c>
      <c r="P54" s="210">
        <v>0</v>
      </c>
      <c r="Q54" s="210">
        <v>0</v>
      </c>
      <c r="R54" s="211">
        <f t="shared" si="9"/>
        <v>-25674.240459905348</v>
      </c>
    </row>
    <row r="55" spans="1:18" x14ac:dyDescent="0.25">
      <c r="A55" s="163">
        <v>12</v>
      </c>
      <c r="B55" s="202">
        <f t="shared" si="13"/>
        <v>43800</v>
      </c>
      <c r="C55" s="226">
        <f t="shared" si="14"/>
        <v>43833</v>
      </c>
      <c r="D55" s="226">
        <f t="shared" si="14"/>
        <v>43850</v>
      </c>
      <c r="E55" s="212" t="s">
        <v>81</v>
      </c>
      <c r="F55" s="163">
        <v>9</v>
      </c>
      <c r="G55" s="217">
        <v>152</v>
      </c>
      <c r="H55" s="206">
        <f t="shared" si="1"/>
        <v>1696.78</v>
      </c>
      <c r="I55" s="218">
        <f t="shared" si="2"/>
        <v>1541.07</v>
      </c>
      <c r="J55" s="219">
        <f t="shared" si="15"/>
        <v>234242.63999999998</v>
      </c>
      <c r="K55" s="220">
        <f t="shared" si="16"/>
        <v>257910.56</v>
      </c>
      <c r="L55" s="221">
        <f t="shared" si="17"/>
        <v>-23667.920000000013</v>
      </c>
      <c r="M55" s="210">
        <f t="shared" si="7"/>
        <v>-1188.6694898446387</v>
      </c>
      <c r="N55" s="211">
        <f t="shared" si="8"/>
        <v>-24856.589489844653</v>
      </c>
      <c r="O55" s="210">
        <v>0</v>
      </c>
      <c r="P55" s="210">
        <v>0</v>
      </c>
      <c r="Q55" s="210">
        <v>0</v>
      </c>
      <c r="R55" s="211">
        <f t="shared" si="9"/>
        <v>-24856.589489844653</v>
      </c>
    </row>
    <row r="56" spans="1:18" s="227" customFormat="1" x14ac:dyDescent="0.25">
      <c r="A56" s="125">
        <v>1</v>
      </c>
      <c r="B56" s="222">
        <f t="shared" si="5"/>
        <v>43466</v>
      </c>
      <c r="C56" s="223">
        <f t="shared" ref="C56:D67" si="18">+C32</f>
        <v>43501</v>
      </c>
      <c r="D56" s="223">
        <f t="shared" si="18"/>
        <v>43516</v>
      </c>
      <c r="E56" s="224" t="s">
        <v>14</v>
      </c>
      <c r="F56" s="225">
        <v>9</v>
      </c>
      <c r="G56" s="205">
        <v>765</v>
      </c>
      <c r="H56" s="206">
        <f t="shared" si="1"/>
        <v>1696.78</v>
      </c>
      <c r="I56" s="206">
        <f t="shared" si="2"/>
        <v>1541.07</v>
      </c>
      <c r="J56" s="207">
        <f t="shared" si="3"/>
        <v>1178918.55</v>
      </c>
      <c r="K56" s="208">
        <f t="shared" si="11"/>
        <v>1298036.7</v>
      </c>
      <c r="L56" s="209">
        <f t="shared" si="12"/>
        <v>-119118.14999999991</v>
      </c>
      <c r="M56" s="210">
        <f t="shared" si="7"/>
        <v>-5982.4484192838727</v>
      </c>
      <c r="N56" s="211">
        <f t="shared" si="8"/>
        <v>-125100.59841928378</v>
      </c>
      <c r="O56" s="210">
        <v>0</v>
      </c>
      <c r="P56" s="210">
        <v>0</v>
      </c>
      <c r="Q56" s="210">
        <v>0</v>
      </c>
      <c r="R56" s="211">
        <f t="shared" si="9"/>
        <v>-125100.59841928378</v>
      </c>
    </row>
    <row r="57" spans="1:18" x14ac:dyDescent="0.25">
      <c r="A57" s="163">
        <v>2</v>
      </c>
      <c r="B57" s="202">
        <f t="shared" si="5"/>
        <v>43497</v>
      </c>
      <c r="C57" s="226">
        <f t="shared" si="18"/>
        <v>43529</v>
      </c>
      <c r="D57" s="226">
        <f t="shared" si="18"/>
        <v>43544</v>
      </c>
      <c r="E57" s="212" t="s">
        <v>14</v>
      </c>
      <c r="F57" s="163">
        <v>9</v>
      </c>
      <c r="G57" s="205">
        <v>823</v>
      </c>
      <c r="H57" s="206">
        <f t="shared" si="1"/>
        <v>1696.78</v>
      </c>
      <c r="I57" s="206">
        <f t="shared" si="2"/>
        <v>1541.07</v>
      </c>
      <c r="J57" s="207">
        <f t="shared" si="3"/>
        <v>1268300.6099999999</v>
      </c>
      <c r="K57" s="208">
        <f t="shared" si="11"/>
        <v>1396449.94</v>
      </c>
      <c r="L57" s="209">
        <f t="shared" si="12"/>
        <v>-128149.33000000007</v>
      </c>
      <c r="M57" s="210">
        <f t="shared" si="7"/>
        <v>-6436.0196719877476</v>
      </c>
      <c r="N57" s="211">
        <f t="shared" si="8"/>
        <v>-134585.34967198782</v>
      </c>
      <c r="O57" s="210">
        <v>0</v>
      </c>
      <c r="P57" s="210">
        <v>0</v>
      </c>
      <c r="Q57" s="210">
        <v>0</v>
      </c>
      <c r="R57" s="211">
        <f t="shared" si="9"/>
        <v>-134585.34967198782</v>
      </c>
    </row>
    <row r="58" spans="1:18" x14ac:dyDescent="0.25">
      <c r="A58" s="163">
        <v>3</v>
      </c>
      <c r="B58" s="202">
        <f t="shared" si="5"/>
        <v>43525</v>
      </c>
      <c r="C58" s="226">
        <f t="shared" si="18"/>
        <v>43558</v>
      </c>
      <c r="D58" s="226">
        <f t="shared" si="18"/>
        <v>43573</v>
      </c>
      <c r="E58" s="212" t="s">
        <v>14</v>
      </c>
      <c r="F58" s="163">
        <v>9</v>
      </c>
      <c r="G58" s="205">
        <v>810</v>
      </c>
      <c r="H58" s="206">
        <f t="shared" si="1"/>
        <v>1696.78</v>
      </c>
      <c r="I58" s="206">
        <f t="shared" si="2"/>
        <v>1541.07</v>
      </c>
      <c r="J58" s="207">
        <f t="shared" si="3"/>
        <v>1248266.7</v>
      </c>
      <c r="K58" s="208">
        <f t="shared" si="11"/>
        <v>1374391.8</v>
      </c>
      <c r="L58" s="209">
        <f>+J58-K58</f>
        <v>-126125.10000000009</v>
      </c>
      <c r="M58" s="210">
        <f t="shared" si="7"/>
        <v>-6334.3571498299825</v>
      </c>
      <c r="N58" s="211">
        <f t="shared" si="8"/>
        <v>-132459.45714983006</v>
      </c>
      <c r="O58" s="210">
        <v>0</v>
      </c>
      <c r="P58" s="210">
        <v>0</v>
      </c>
      <c r="Q58" s="210">
        <v>0</v>
      </c>
      <c r="R58" s="211">
        <f t="shared" si="9"/>
        <v>-132459.45714983006</v>
      </c>
    </row>
    <row r="59" spans="1:18" x14ac:dyDescent="0.25">
      <c r="A59" s="125">
        <v>4</v>
      </c>
      <c r="B59" s="202">
        <f t="shared" si="5"/>
        <v>43556</v>
      </c>
      <c r="C59" s="226">
        <f t="shared" si="18"/>
        <v>43588</v>
      </c>
      <c r="D59" s="226">
        <f t="shared" si="18"/>
        <v>43605</v>
      </c>
      <c r="E59" s="212" t="s">
        <v>14</v>
      </c>
      <c r="F59" s="163">
        <v>9</v>
      </c>
      <c r="G59" s="205">
        <v>488</v>
      </c>
      <c r="H59" s="206">
        <f t="shared" si="1"/>
        <v>1696.78</v>
      </c>
      <c r="I59" s="206">
        <f t="shared" si="2"/>
        <v>1541.07</v>
      </c>
      <c r="J59" s="207">
        <f t="shared" si="3"/>
        <v>752042.15999999992</v>
      </c>
      <c r="K59" s="208">
        <f t="shared" si="11"/>
        <v>828028.64</v>
      </c>
      <c r="L59" s="209">
        <f t="shared" ref="L59:L81" si="19">+J59-K59</f>
        <v>-75986.480000000098</v>
      </c>
      <c r="M59" s="210">
        <f t="shared" si="7"/>
        <v>-3816.2546779222616</v>
      </c>
      <c r="N59" s="211">
        <f t="shared" si="8"/>
        <v>-79802.734677922359</v>
      </c>
      <c r="O59" s="210">
        <v>0</v>
      </c>
      <c r="P59" s="210">
        <v>0</v>
      </c>
      <c r="Q59" s="210">
        <v>0</v>
      </c>
      <c r="R59" s="211">
        <f t="shared" si="9"/>
        <v>-79802.734677922359</v>
      </c>
    </row>
    <row r="60" spans="1:18" x14ac:dyDescent="0.25">
      <c r="A60" s="163">
        <v>5</v>
      </c>
      <c r="B60" s="202">
        <f t="shared" si="5"/>
        <v>43586</v>
      </c>
      <c r="C60" s="226">
        <f t="shared" si="18"/>
        <v>43621</v>
      </c>
      <c r="D60" s="226">
        <f t="shared" si="18"/>
        <v>43636</v>
      </c>
      <c r="E60" s="54" t="s">
        <v>14</v>
      </c>
      <c r="F60" s="163">
        <v>9</v>
      </c>
      <c r="G60" s="205">
        <v>697</v>
      </c>
      <c r="H60" s="206">
        <f t="shared" si="1"/>
        <v>1696.78</v>
      </c>
      <c r="I60" s="206">
        <f t="shared" si="2"/>
        <v>1541.07</v>
      </c>
      <c r="J60" s="207">
        <f t="shared" si="3"/>
        <v>1074125.79</v>
      </c>
      <c r="K60" s="208">
        <f t="shared" si="11"/>
        <v>1182655.6599999999</v>
      </c>
      <c r="L60" s="209">
        <f t="shared" si="19"/>
        <v>-108529.86999999988</v>
      </c>
      <c r="M60" s="210">
        <f t="shared" si="7"/>
        <v>-5450.6752264586394</v>
      </c>
      <c r="N60" s="211">
        <f t="shared" si="8"/>
        <v>-113980.54522645852</v>
      </c>
      <c r="O60" s="210">
        <v>0</v>
      </c>
      <c r="P60" s="210">
        <v>0</v>
      </c>
      <c r="Q60" s="210">
        <v>0</v>
      </c>
      <c r="R60" s="211">
        <f t="shared" si="9"/>
        <v>-113980.54522645852</v>
      </c>
    </row>
    <row r="61" spans="1:18" x14ac:dyDescent="0.25">
      <c r="A61" s="163">
        <v>6</v>
      </c>
      <c r="B61" s="202">
        <f t="shared" si="5"/>
        <v>43617</v>
      </c>
      <c r="C61" s="226">
        <f t="shared" si="18"/>
        <v>43649</v>
      </c>
      <c r="D61" s="226">
        <f t="shared" si="18"/>
        <v>43664</v>
      </c>
      <c r="E61" s="54" t="s">
        <v>14</v>
      </c>
      <c r="F61" s="163">
        <v>9</v>
      </c>
      <c r="G61" s="205">
        <v>805</v>
      </c>
      <c r="H61" s="206">
        <f t="shared" si="1"/>
        <v>1696.78</v>
      </c>
      <c r="I61" s="206">
        <f t="shared" si="2"/>
        <v>1541.07</v>
      </c>
      <c r="J61" s="207">
        <f t="shared" si="3"/>
        <v>1240561.3499999999</v>
      </c>
      <c r="K61" s="208">
        <f t="shared" si="11"/>
        <v>1365907.9</v>
      </c>
      <c r="L61" s="213">
        <f t="shared" si="19"/>
        <v>-125346.55000000005</v>
      </c>
      <c r="M61" s="210">
        <f t="shared" si="7"/>
        <v>-6295.2561797693033</v>
      </c>
      <c r="N61" s="211">
        <f t="shared" si="8"/>
        <v>-131641.80617976934</v>
      </c>
      <c r="O61" s="210">
        <v>0</v>
      </c>
      <c r="P61" s="210">
        <v>0</v>
      </c>
      <c r="Q61" s="210">
        <v>0</v>
      </c>
      <c r="R61" s="211">
        <f t="shared" si="9"/>
        <v>-131641.80617976934</v>
      </c>
    </row>
    <row r="62" spans="1:18" x14ac:dyDescent="0.25">
      <c r="A62" s="125">
        <v>7</v>
      </c>
      <c r="B62" s="202">
        <f t="shared" si="5"/>
        <v>43647</v>
      </c>
      <c r="C62" s="226">
        <f t="shared" si="18"/>
        <v>43682</v>
      </c>
      <c r="D62" s="226">
        <f t="shared" si="18"/>
        <v>43697</v>
      </c>
      <c r="E62" s="54" t="s">
        <v>14</v>
      </c>
      <c r="F62" s="163">
        <v>9</v>
      </c>
      <c r="G62" s="205">
        <v>840</v>
      </c>
      <c r="H62" s="206">
        <f t="shared" si="1"/>
        <v>1696.78</v>
      </c>
      <c r="I62" s="206">
        <f t="shared" si="2"/>
        <v>1541.07</v>
      </c>
      <c r="J62" s="207">
        <f t="shared" si="3"/>
        <v>1294498.8</v>
      </c>
      <c r="K62" s="214">
        <f t="shared" si="11"/>
        <v>1425295.2</v>
      </c>
      <c r="L62" s="213">
        <f t="shared" si="19"/>
        <v>-130796.39999999991</v>
      </c>
      <c r="M62" s="210">
        <f t="shared" si="7"/>
        <v>-6568.9629701940557</v>
      </c>
      <c r="N62" s="211">
        <f t="shared" si="8"/>
        <v>-137365.36297019396</v>
      </c>
      <c r="O62" s="210">
        <v>0</v>
      </c>
      <c r="P62" s="210">
        <v>0</v>
      </c>
      <c r="Q62" s="210">
        <v>0</v>
      </c>
      <c r="R62" s="211">
        <f t="shared" si="9"/>
        <v>-137365.36297019396</v>
      </c>
    </row>
    <row r="63" spans="1:18" x14ac:dyDescent="0.25">
      <c r="A63" s="163">
        <v>8</v>
      </c>
      <c r="B63" s="202">
        <f t="shared" si="5"/>
        <v>43678</v>
      </c>
      <c r="C63" s="226">
        <f t="shared" si="18"/>
        <v>43712</v>
      </c>
      <c r="D63" s="226">
        <f t="shared" si="18"/>
        <v>43727</v>
      </c>
      <c r="E63" s="54" t="s">
        <v>14</v>
      </c>
      <c r="F63" s="163">
        <v>9</v>
      </c>
      <c r="G63" s="205">
        <v>890</v>
      </c>
      <c r="H63" s="206">
        <f t="shared" si="1"/>
        <v>1696.78</v>
      </c>
      <c r="I63" s="206">
        <f t="shared" si="2"/>
        <v>1541.07</v>
      </c>
      <c r="J63" s="207">
        <f t="shared" si="3"/>
        <v>1371552.3</v>
      </c>
      <c r="K63" s="214">
        <f t="shared" si="11"/>
        <v>1510134.2</v>
      </c>
      <c r="L63" s="213">
        <f t="shared" si="19"/>
        <v>-138581.89999999991</v>
      </c>
      <c r="M63" s="210">
        <f t="shared" si="7"/>
        <v>-6959.9726708008448</v>
      </c>
      <c r="N63" s="211">
        <f t="shared" si="8"/>
        <v>-145541.87267080075</v>
      </c>
      <c r="O63" s="210">
        <v>0</v>
      </c>
      <c r="P63" s="210">
        <v>0</v>
      </c>
      <c r="Q63" s="210">
        <v>0</v>
      </c>
      <c r="R63" s="211">
        <f t="shared" si="9"/>
        <v>-145541.87267080075</v>
      </c>
    </row>
    <row r="64" spans="1:18" x14ac:dyDescent="0.25">
      <c r="A64" s="163">
        <v>9</v>
      </c>
      <c r="B64" s="202">
        <f t="shared" si="5"/>
        <v>43709</v>
      </c>
      <c r="C64" s="226">
        <f t="shared" si="18"/>
        <v>43741</v>
      </c>
      <c r="D64" s="226">
        <f t="shared" si="18"/>
        <v>43756</v>
      </c>
      <c r="E64" s="54" t="s">
        <v>14</v>
      </c>
      <c r="F64" s="163">
        <v>9</v>
      </c>
      <c r="G64" s="205">
        <v>818</v>
      </c>
      <c r="H64" s="206">
        <f t="shared" si="1"/>
        <v>1696.78</v>
      </c>
      <c r="I64" s="206">
        <f t="shared" ref="I64:I107" si="20">$J$3</f>
        <v>1541.07</v>
      </c>
      <c r="J64" s="207">
        <f t="shared" si="3"/>
        <v>1260595.26</v>
      </c>
      <c r="K64" s="214">
        <f t="shared" si="11"/>
        <v>1387966.04</v>
      </c>
      <c r="L64" s="213">
        <f t="shared" si="19"/>
        <v>-127370.78000000003</v>
      </c>
      <c r="M64" s="210">
        <f t="shared" si="7"/>
        <v>-6396.9187019270694</v>
      </c>
      <c r="N64" s="211">
        <f t="shared" si="8"/>
        <v>-133767.69870192709</v>
      </c>
      <c r="O64" s="210">
        <v>0</v>
      </c>
      <c r="P64" s="210">
        <v>0</v>
      </c>
      <c r="Q64" s="210">
        <v>0</v>
      </c>
      <c r="R64" s="211">
        <f t="shared" si="9"/>
        <v>-133767.69870192709</v>
      </c>
    </row>
    <row r="65" spans="1:18" x14ac:dyDescent="0.25">
      <c r="A65" s="125">
        <v>10</v>
      </c>
      <c r="B65" s="202">
        <f t="shared" si="5"/>
        <v>43739</v>
      </c>
      <c r="C65" s="226">
        <f t="shared" si="18"/>
        <v>43774</v>
      </c>
      <c r="D65" s="226">
        <f t="shared" si="18"/>
        <v>43789</v>
      </c>
      <c r="E65" s="54" t="s">
        <v>14</v>
      </c>
      <c r="F65" s="163">
        <v>9</v>
      </c>
      <c r="G65" s="205">
        <v>759</v>
      </c>
      <c r="H65" s="206">
        <f t="shared" si="1"/>
        <v>1696.78</v>
      </c>
      <c r="I65" s="206">
        <f t="shared" si="20"/>
        <v>1541.07</v>
      </c>
      <c r="J65" s="207">
        <f t="shared" si="3"/>
        <v>1169672.1299999999</v>
      </c>
      <c r="K65" s="214">
        <f t="shared" si="11"/>
        <v>1287856.02</v>
      </c>
      <c r="L65" s="213">
        <f t="shared" si="19"/>
        <v>-118183.89000000013</v>
      </c>
      <c r="M65" s="210">
        <f t="shared" si="7"/>
        <v>-5935.5272552110582</v>
      </c>
      <c r="N65" s="211">
        <f t="shared" si="8"/>
        <v>-124119.41725521118</v>
      </c>
      <c r="O65" s="210">
        <v>0</v>
      </c>
      <c r="P65" s="210">
        <v>0</v>
      </c>
      <c r="Q65" s="210">
        <v>0</v>
      </c>
      <c r="R65" s="211">
        <f t="shared" si="9"/>
        <v>-124119.41725521118</v>
      </c>
    </row>
    <row r="66" spans="1:18" x14ac:dyDescent="0.25">
      <c r="A66" s="163">
        <v>11</v>
      </c>
      <c r="B66" s="202">
        <f t="shared" si="5"/>
        <v>43770</v>
      </c>
      <c r="C66" s="226">
        <f t="shared" si="18"/>
        <v>43803</v>
      </c>
      <c r="D66" s="226">
        <f t="shared" si="18"/>
        <v>43818</v>
      </c>
      <c r="E66" s="54" t="s">
        <v>14</v>
      </c>
      <c r="F66" s="163">
        <v>9</v>
      </c>
      <c r="G66" s="205">
        <v>740</v>
      </c>
      <c r="H66" s="206">
        <f t="shared" si="1"/>
        <v>1696.78</v>
      </c>
      <c r="I66" s="206">
        <f t="shared" si="20"/>
        <v>1541.07</v>
      </c>
      <c r="J66" s="207">
        <f t="shared" si="3"/>
        <v>1140391.8</v>
      </c>
      <c r="K66" s="214">
        <f t="shared" si="11"/>
        <v>1255617.2</v>
      </c>
      <c r="L66" s="213">
        <f t="shared" si="19"/>
        <v>-115225.39999999991</v>
      </c>
      <c r="M66" s="210">
        <f t="shared" si="7"/>
        <v>-5786.9435689804777</v>
      </c>
      <c r="N66" s="211">
        <f t="shared" si="8"/>
        <v>-121012.34356898039</v>
      </c>
      <c r="O66" s="210">
        <v>0</v>
      </c>
      <c r="P66" s="210">
        <v>0</v>
      </c>
      <c r="Q66" s="210">
        <v>0</v>
      </c>
      <c r="R66" s="211">
        <f t="shared" si="9"/>
        <v>-121012.34356898039</v>
      </c>
    </row>
    <row r="67" spans="1:18" s="230" customFormat="1" x14ac:dyDescent="0.25">
      <c r="A67" s="163">
        <v>12</v>
      </c>
      <c r="B67" s="228">
        <f t="shared" si="5"/>
        <v>43800</v>
      </c>
      <c r="C67" s="226">
        <f t="shared" si="18"/>
        <v>43833</v>
      </c>
      <c r="D67" s="226">
        <f t="shared" si="18"/>
        <v>43850</v>
      </c>
      <c r="E67" s="229" t="s">
        <v>14</v>
      </c>
      <c r="F67" s="174">
        <v>9</v>
      </c>
      <c r="G67" s="217">
        <v>752</v>
      </c>
      <c r="H67" s="206">
        <f t="shared" si="1"/>
        <v>1696.78</v>
      </c>
      <c r="I67" s="218">
        <f t="shared" si="20"/>
        <v>1541.07</v>
      </c>
      <c r="J67" s="219">
        <f t="shared" si="3"/>
        <v>1158884.6399999999</v>
      </c>
      <c r="K67" s="220">
        <f t="shared" si="11"/>
        <v>1275978.56</v>
      </c>
      <c r="L67" s="221">
        <f t="shared" si="19"/>
        <v>-117093.92000000016</v>
      </c>
      <c r="M67" s="210">
        <f t="shared" si="7"/>
        <v>-5880.7858971261076</v>
      </c>
      <c r="N67" s="211">
        <f t="shared" si="8"/>
        <v>-122974.70589712626</v>
      </c>
      <c r="O67" s="210">
        <v>0</v>
      </c>
      <c r="P67" s="210">
        <v>0</v>
      </c>
      <c r="Q67" s="210">
        <v>0</v>
      </c>
      <c r="R67" s="211">
        <f t="shared" si="9"/>
        <v>-122974.70589712626</v>
      </c>
    </row>
    <row r="68" spans="1:18" x14ac:dyDescent="0.25">
      <c r="A68" s="125">
        <v>1</v>
      </c>
      <c r="B68" s="202">
        <f t="shared" si="5"/>
        <v>43466</v>
      </c>
      <c r="C68" s="223">
        <f t="shared" ref="C68:D79" si="21">+C56</f>
        <v>43501</v>
      </c>
      <c r="D68" s="223">
        <f t="shared" si="21"/>
        <v>43516</v>
      </c>
      <c r="E68" s="204" t="s">
        <v>83</v>
      </c>
      <c r="F68" s="125">
        <v>9</v>
      </c>
      <c r="G68" s="205">
        <v>38</v>
      </c>
      <c r="H68" s="206">
        <f t="shared" si="1"/>
        <v>1696.78</v>
      </c>
      <c r="I68" s="206">
        <f t="shared" si="20"/>
        <v>1541.07</v>
      </c>
      <c r="J68" s="207">
        <f t="shared" si="3"/>
        <v>58560.659999999996</v>
      </c>
      <c r="K68" s="208">
        <f t="shared" si="11"/>
        <v>64477.64</v>
      </c>
      <c r="L68" s="209">
        <f t="shared" si="19"/>
        <v>-5916.9800000000032</v>
      </c>
      <c r="M68" s="210">
        <f t="shared" si="7"/>
        <v>-297.16737246115969</v>
      </c>
      <c r="N68" s="211">
        <f t="shared" si="8"/>
        <v>-6214.1473724611633</v>
      </c>
      <c r="O68" s="210">
        <v>0</v>
      </c>
      <c r="P68" s="210">
        <v>0</v>
      </c>
      <c r="Q68" s="210">
        <v>0</v>
      </c>
      <c r="R68" s="211">
        <f t="shared" si="9"/>
        <v>-6214.1473724611633</v>
      </c>
    </row>
    <row r="69" spans="1:18" x14ac:dyDescent="0.25">
      <c r="A69" s="163">
        <v>2</v>
      </c>
      <c r="B69" s="202">
        <f t="shared" si="5"/>
        <v>43497</v>
      </c>
      <c r="C69" s="226">
        <f t="shared" si="21"/>
        <v>43529</v>
      </c>
      <c r="D69" s="226">
        <f t="shared" si="21"/>
        <v>43544</v>
      </c>
      <c r="E69" s="212" t="s">
        <v>83</v>
      </c>
      <c r="F69" s="163">
        <v>9</v>
      </c>
      <c r="G69" s="205">
        <v>43</v>
      </c>
      <c r="H69" s="206">
        <f t="shared" si="1"/>
        <v>1696.78</v>
      </c>
      <c r="I69" s="206">
        <f t="shared" si="20"/>
        <v>1541.07</v>
      </c>
      <c r="J69" s="207">
        <f t="shared" si="3"/>
        <v>66266.009999999995</v>
      </c>
      <c r="K69" s="208">
        <f t="shared" si="11"/>
        <v>72961.539999999994</v>
      </c>
      <c r="L69" s="209">
        <f t="shared" si="19"/>
        <v>-6695.5299999999988</v>
      </c>
      <c r="M69" s="210">
        <f t="shared" si="7"/>
        <v>-336.26834252183863</v>
      </c>
      <c r="N69" s="211">
        <f t="shared" si="8"/>
        <v>-7031.7983425218372</v>
      </c>
      <c r="O69" s="210">
        <v>0</v>
      </c>
      <c r="P69" s="210">
        <v>0</v>
      </c>
      <c r="Q69" s="210">
        <v>0</v>
      </c>
      <c r="R69" s="211">
        <f t="shared" si="9"/>
        <v>-7031.7983425218372</v>
      </c>
    </row>
    <row r="70" spans="1:18" x14ac:dyDescent="0.25">
      <c r="A70" s="163">
        <v>3</v>
      </c>
      <c r="B70" s="202">
        <f t="shared" si="5"/>
        <v>43525</v>
      </c>
      <c r="C70" s="226">
        <f t="shared" si="21"/>
        <v>43558</v>
      </c>
      <c r="D70" s="226">
        <f t="shared" si="21"/>
        <v>43573</v>
      </c>
      <c r="E70" s="212" t="s">
        <v>83</v>
      </c>
      <c r="F70" s="163">
        <v>9</v>
      </c>
      <c r="G70" s="205">
        <v>45</v>
      </c>
      <c r="H70" s="206">
        <f t="shared" si="1"/>
        <v>1696.78</v>
      </c>
      <c r="I70" s="206">
        <f t="shared" si="20"/>
        <v>1541.07</v>
      </c>
      <c r="J70" s="207">
        <f t="shared" si="3"/>
        <v>69348.149999999994</v>
      </c>
      <c r="K70" s="208">
        <f t="shared" si="11"/>
        <v>76355.100000000006</v>
      </c>
      <c r="L70" s="209">
        <f>+J70-K70</f>
        <v>-7006.9500000000116</v>
      </c>
      <c r="M70" s="210">
        <f t="shared" si="7"/>
        <v>-351.90873054611018</v>
      </c>
      <c r="N70" s="211">
        <f t="shared" si="8"/>
        <v>-7358.8587305461215</v>
      </c>
      <c r="O70" s="210">
        <v>0</v>
      </c>
      <c r="P70" s="210">
        <v>0</v>
      </c>
      <c r="Q70" s="210">
        <v>0</v>
      </c>
      <c r="R70" s="211">
        <f t="shared" si="9"/>
        <v>-7358.8587305461215</v>
      </c>
    </row>
    <row r="71" spans="1:18" x14ac:dyDescent="0.25">
      <c r="A71" s="125">
        <v>4</v>
      </c>
      <c r="B71" s="202">
        <f t="shared" si="5"/>
        <v>43556</v>
      </c>
      <c r="C71" s="226">
        <f t="shared" si="21"/>
        <v>43588</v>
      </c>
      <c r="D71" s="226">
        <f t="shared" si="21"/>
        <v>43605</v>
      </c>
      <c r="E71" s="212" t="s">
        <v>83</v>
      </c>
      <c r="F71" s="163">
        <v>9</v>
      </c>
      <c r="G71" s="205">
        <v>22</v>
      </c>
      <c r="H71" s="206">
        <f t="shared" si="1"/>
        <v>1696.78</v>
      </c>
      <c r="I71" s="206">
        <f t="shared" si="20"/>
        <v>1541.07</v>
      </c>
      <c r="J71" s="207">
        <f t="shared" si="3"/>
        <v>33903.54</v>
      </c>
      <c r="K71" s="208">
        <f t="shared" si="11"/>
        <v>37329.159999999996</v>
      </c>
      <c r="L71" s="209">
        <f t="shared" ref="L71:L79" si="22">+J71-K71</f>
        <v>-3425.6199999999953</v>
      </c>
      <c r="M71" s="210">
        <f t="shared" si="7"/>
        <v>-172.04426826698719</v>
      </c>
      <c r="N71" s="211">
        <f t="shared" si="8"/>
        <v>-3597.6642682669826</v>
      </c>
      <c r="O71" s="210">
        <v>0</v>
      </c>
      <c r="P71" s="210">
        <v>0</v>
      </c>
      <c r="Q71" s="210">
        <v>0</v>
      </c>
      <c r="R71" s="211">
        <f t="shared" si="9"/>
        <v>-3597.6642682669826</v>
      </c>
    </row>
    <row r="72" spans="1:18" x14ac:dyDescent="0.25">
      <c r="A72" s="163">
        <v>5</v>
      </c>
      <c r="B72" s="202">
        <f t="shared" si="5"/>
        <v>43586</v>
      </c>
      <c r="C72" s="226">
        <f t="shared" si="21"/>
        <v>43621</v>
      </c>
      <c r="D72" s="226">
        <f t="shared" si="21"/>
        <v>43636</v>
      </c>
      <c r="E72" s="212" t="s">
        <v>83</v>
      </c>
      <c r="F72" s="163">
        <v>9</v>
      </c>
      <c r="G72" s="205">
        <v>31</v>
      </c>
      <c r="H72" s="206">
        <f t="shared" si="1"/>
        <v>1696.78</v>
      </c>
      <c r="I72" s="206">
        <f t="shared" si="20"/>
        <v>1541.07</v>
      </c>
      <c r="J72" s="207">
        <f t="shared" si="3"/>
        <v>47773.17</v>
      </c>
      <c r="K72" s="208">
        <f t="shared" si="11"/>
        <v>52600.18</v>
      </c>
      <c r="L72" s="209">
        <f t="shared" si="22"/>
        <v>-4827.010000000002</v>
      </c>
      <c r="M72" s="210">
        <f t="shared" si="7"/>
        <v>-242.42601437620922</v>
      </c>
      <c r="N72" s="211">
        <f t="shared" si="8"/>
        <v>-5069.4360143762115</v>
      </c>
      <c r="O72" s="210">
        <v>0</v>
      </c>
      <c r="P72" s="210">
        <v>0</v>
      </c>
      <c r="Q72" s="210">
        <v>0</v>
      </c>
      <c r="R72" s="211">
        <f t="shared" si="9"/>
        <v>-5069.4360143762115</v>
      </c>
    </row>
    <row r="73" spans="1:18" x14ac:dyDescent="0.25">
      <c r="A73" s="163">
        <v>6</v>
      </c>
      <c r="B73" s="202">
        <f t="shared" si="5"/>
        <v>43617</v>
      </c>
      <c r="C73" s="226">
        <f t="shared" si="21"/>
        <v>43649</v>
      </c>
      <c r="D73" s="226">
        <f t="shared" si="21"/>
        <v>43664</v>
      </c>
      <c r="E73" s="212" t="s">
        <v>83</v>
      </c>
      <c r="F73" s="163">
        <v>9</v>
      </c>
      <c r="G73" s="205">
        <v>44</v>
      </c>
      <c r="H73" s="206">
        <f t="shared" si="1"/>
        <v>1696.78</v>
      </c>
      <c r="I73" s="206">
        <f t="shared" si="20"/>
        <v>1541.07</v>
      </c>
      <c r="J73" s="207">
        <f t="shared" si="3"/>
        <v>67807.08</v>
      </c>
      <c r="K73" s="208">
        <f t="shared" si="11"/>
        <v>74658.319999999992</v>
      </c>
      <c r="L73" s="213">
        <f t="shared" si="22"/>
        <v>-6851.2399999999907</v>
      </c>
      <c r="M73" s="210">
        <f t="shared" si="7"/>
        <v>-344.08853653397438</v>
      </c>
      <c r="N73" s="211">
        <f t="shared" si="8"/>
        <v>-7195.3285365339652</v>
      </c>
      <c r="O73" s="210">
        <v>0</v>
      </c>
      <c r="P73" s="210">
        <v>0</v>
      </c>
      <c r="Q73" s="210">
        <v>0</v>
      </c>
      <c r="R73" s="211">
        <f t="shared" si="9"/>
        <v>-7195.3285365339652</v>
      </c>
    </row>
    <row r="74" spans="1:18" x14ac:dyDescent="0.25">
      <c r="A74" s="125">
        <v>7</v>
      </c>
      <c r="B74" s="202">
        <f t="shared" si="5"/>
        <v>43647</v>
      </c>
      <c r="C74" s="226">
        <f t="shared" si="21"/>
        <v>43682</v>
      </c>
      <c r="D74" s="226">
        <f t="shared" si="21"/>
        <v>43697</v>
      </c>
      <c r="E74" s="212" t="s">
        <v>83</v>
      </c>
      <c r="F74" s="163">
        <v>9</v>
      </c>
      <c r="G74" s="205">
        <v>47</v>
      </c>
      <c r="H74" s="206">
        <f t="shared" si="1"/>
        <v>1696.78</v>
      </c>
      <c r="I74" s="206">
        <f t="shared" si="20"/>
        <v>1541.07</v>
      </c>
      <c r="J74" s="207">
        <f t="shared" si="3"/>
        <v>72430.289999999994</v>
      </c>
      <c r="K74" s="214">
        <f t="shared" si="11"/>
        <v>79748.66</v>
      </c>
      <c r="L74" s="213">
        <f t="shared" si="22"/>
        <v>-7318.3700000000099</v>
      </c>
      <c r="M74" s="210">
        <f t="shared" si="7"/>
        <v>-367.54911857038172</v>
      </c>
      <c r="N74" s="211">
        <f t="shared" si="8"/>
        <v>-7685.9191185703912</v>
      </c>
      <c r="O74" s="210">
        <v>0</v>
      </c>
      <c r="P74" s="210">
        <v>0</v>
      </c>
      <c r="Q74" s="210">
        <v>0</v>
      </c>
      <c r="R74" s="211">
        <f t="shared" si="9"/>
        <v>-7685.9191185703912</v>
      </c>
    </row>
    <row r="75" spans="1:18" x14ac:dyDescent="0.25">
      <c r="A75" s="163">
        <v>8</v>
      </c>
      <c r="B75" s="202">
        <f t="shared" si="5"/>
        <v>43678</v>
      </c>
      <c r="C75" s="226">
        <f t="shared" si="21"/>
        <v>43712</v>
      </c>
      <c r="D75" s="226">
        <f t="shared" si="21"/>
        <v>43727</v>
      </c>
      <c r="E75" s="212" t="s">
        <v>83</v>
      </c>
      <c r="F75" s="163">
        <v>9</v>
      </c>
      <c r="G75" s="205">
        <v>50</v>
      </c>
      <c r="H75" s="206">
        <f t="shared" si="1"/>
        <v>1696.78</v>
      </c>
      <c r="I75" s="206">
        <f t="shared" si="20"/>
        <v>1541.07</v>
      </c>
      <c r="J75" s="207">
        <f t="shared" si="3"/>
        <v>77053.5</v>
      </c>
      <c r="K75" s="214">
        <f t="shared" si="11"/>
        <v>84839</v>
      </c>
      <c r="L75" s="213">
        <f t="shared" si="22"/>
        <v>-7785.5</v>
      </c>
      <c r="M75" s="210">
        <f t="shared" si="7"/>
        <v>-391.00970060678907</v>
      </c>
      <c r="N75" s="211">
        <f t="shared" si="8"/>
        <v>-8176.509700606789</v>
      </c>
      <c r="O75" s="210">
        <v>0</v>
      </c>
      <c r="P75" s="210">
        <v>0</v>
      </c>
      <c r="Q75" s="210">
        <v>0</v>
      </c>
      <c r="R75" s="211">
        <f t="shared" si="9"/>
        <v>-8176.509700606789</v>
      </c>
    </row>
    <row r="76" spans="1:18" x14ac:dyDescent="0.25">
      <c r="A76" s="163">
        <v>9</v>
      </c>
      <c r="B76" s="202">
        <f t="shared" si="5"/>
        <v>43709</v>
      </c>
      <c r="C76" s="226">
        <f t="shared" si="21"/>
        <v>43741</v>
      </c>
      <c r="D76" s="226">
        <f t="shared" si="21"/>
        <v>43756</v>
      </c>
      <c r="E76" s="212" t="s">
        <v>83</v>
      </c>
      <c r="F76" s="163">
        <v>9</v>
      </c>
      <c r="G76" s="205">
        <v>45</v>
      </c>
      <c r="H76" s="206">
        <f t="shared" si="1"/>
        <v>1696.78</v>
      </c>
      <c r="I76" s="206">
        <f t="shared" si="20"/>
        <v>1541.07</v>
      </c>
      <c r="J76" s="207">
        <f t="shared" si="3"/>
        <v>69348.149999999994</v>
      </c>
      <c r="K76" s="214">
        <f t="shared" si="11"/>
        <v>76355.100000000006</v>
      </c>
      <c r="L76" s="213">
        <f t="shared" si="22"/>
        <v>-7006.9500000000116</v>
      </c>
      <c r="M76" s="210">
        <f t="shared" si="7"/>
        <v>-351.90873054611018</v>
      </c>
      <c r="N76" s="211">
        <f t="shared" si="8"/>
        <v>-7358.8587305461215</v>
      </c>
      <c r="O76" s="210">
        <v>0</v>
      </c>
      <c r="P76" s="210">
        <v>0</v>
      </c>
      <c r="Q76" s="210">
        <v>0</v>
      </c>
      <c r="R76" s="211">
        <f t="shared" si="9"/>
        <v>-7358.8587305461215</v>
      </c>
    </row>
    <row r="77" spans="1:18" x14ac:dyDescent="0.25">
      <c r="A77" s="125">
        <v>10</v>
      </c>
      <c r="B77" s="202">
        <f t="shared" si="5"/>
        <v>43739</v>
      </c>
      <c r="C77" s="226">
        <f t="shared" si="21"/>
        <v>43774</v>
      </c>
      <c r="D77" s="226">
        <f t="shared" si="21"/>
        <v>43789</v>
      </c>
      <c r="E77" s="212" t="s">
        <v>83</v>
      </c>
      <c r="F77" s="163">
        <v>9</v>
      </c>
      <c r="G77" s="205">
        <v>37</v>
      </c>
      <c r="H77" s="206">
        <f t="shared" si="1"/>
        <v>1696.78</v>
      </c>
      <c r="I77" s="206">
        <f t="shared" si="20"/>
        <v>1541.07</v>
      </c>
      <c r="J77" s="207">
        <f t="shared" si="3"/>
        <v>57019.59</v>
      </c>
      <c r="K77" s="214">
        <f t="shared" si="11"/>
        <v>62780.86</v>
      </c>
      <c r="L77" s="213">
        <f t="shared" si="22"/>
        <v>-5761.2700000000041</v>
      </c>
      <c r="M77" s="210">
        <f t="shared" si="7"/>
        <v>-289.34717844902389</v>
      </c>
      <c r="N77" s="211">
        <f t="shared" si="8"/>
        <v>-6050.617178449028</v>
      </c>
      <c r="O77" s="210">
        <v>0</v>
      </c>
      <c r="P77" s="210">
        <v>0</v>
      </c>
      <c r="Q77" s="210">
        <v>0</v>
      </c>
      <c r="R77" s="211">
        <f t="shared" si="9"/>
        <v>-6050.617178449028</v>
      </c>
    </row>
    <row r="78" spans="1:18" x14ac:dyDescent="0.25">
      <c r="A78" s="163">
        <v>11</v>
      </c>
      <c r="B78" s="202">
        <f t="shared" si="5"/>
        <v>43770</v>
      </c>
      <c r="C78" s="226">
        <f t="shared" si="21"/>
        <v>43803</v>
      </c>
      <c r="D78" s="226">
        <f t="shared" si="21"/>
        <v>43818</v>
      </c>
      <c r="E78" s="212" t="s">
        <v>83</v>
      </c>
      <c r="F78" s="163">
        <v>9</v>
      </c>
      <c r="G78" s="205">
        <v>38</v>
      </c>
      <c r="H78" s="206">
        <f t="shared" si="1"/>
        <v>1696.78</v>
      </c>
      <c r="I78" s="206">
        <f t="shared" si="20"/>
        <v>1541.07</v>
      </c>
      <c r="J78" s="207">
        <f t="shared" si="3"/>
        <v>58560.659999999996</v>
      </c>
      <c r="K78" s="214">
        <f>+$G78*H78</f>
        <v>64477.64</v>
      </c>
      <c r="L78" s="213">
        <f t="shared" si="22"/>
        <v>-5916.9800000000032</v>
      </c>
      <c r="M78" s="210">
        <f t="shared" si="7"/>
        <v>-297.16737246115969</v>
      </c>
      <c r="N78" s="211">
        <f t="shared" si="8"/>
        <v>-6214.1473724611633</v>
      </c>
      <c r="O78" s="210">
        <v>0</v>
      </c>
      <c r="P78" s="210">
        <v>0</v>
      </c>
      <c r="Q78" s="210">
        <v>0</v>
      </c>
      <c r="R78" s="211">
        <f t="shared" si="9"/>
        <v>-6214.1473724611633</v>
      </c>
    </row>
    <row r="79" spans="1:18" s="230" customFormat="1" x14ac:dyDescent="0.25">
      <c r="A79" s="163">
        <v>12</v>
      </c>
      <c r="B79" s="228">
        <f t="shared" si="5"/>
        <v>43800</v>
      </c>
      <c r="C79" s="231">
        <f t="shared" si="21"/>
        <v>43833</v>
      </c>
      <c r="D79" s="231">
        <f t="shared" si="21"/>
        <v>43850</v>
      </c>
      <c r="E79" s="232" t="s">
        <v>83</v>
      </c>
      <c r="F79" s="174">
        <v>9</v>
      </c>
      <c r="G79" s="217">
        <v>38</v>
      </c>
      <c r="H79" s="206">
        <f t="shared" si="1"/>
        <v>1696.78</v>
      </c>
      <c r="I79" s="218">
        <f t="shared" si="20"/>
        <v>1541.07</v>
      </c>
      <c r="J79" s="219">
        <f t="shared" si="3"/>
        <v>58560.659999999996</v>
      </c>
      <c r="K79" s="220">
        <f>+$G79*H79</f>
        <v>64477.64</v>
      </c>
      <c r="L79" s="221">
        <f t="shared" si="22"/>
        <v>-5916.9800000000032</v>
      </c>
      <c r="M79" s="210">
        <f t="shared" si="7"/>
        <v>-297.16737246115969</v>
      </c>
      <c r="N79" s="211">
        <f t="shared" si="8"/>
        <v>-6214.1473724611633</v>
      </c>
      <c r="O79" s="210">
        <v>0</v>
      </c>
      <c r="P79" s="210">
        <v>0</v>
      </c>
      <c r="Q79" s="210">
        <v>0</v>
      </c>
      <c r="R79" s="211">
        <f t="shared" si="9"/>
        <v>-6214.1473724611633</v>
      </c>
    </row>
    <row r="80" spans="1:18" s="52" customFormat="1" ht="12.75" customHeight="1" x14ac:dyDescent="0.25">
      <c r="A80" s="125">
        <v>1</v>
      </c>
      <c r="B80" s="202">
        <f t="shared" si="5"/>
        <v>43466</v>
      </c>
      <c r="C80" s="223">
        <f t="shared" ref="C80:D91" si="23">+C56</f>
        <v>43501</v>
      </c>
      <c r="D80" s="223">
        <f t="shared" si="23"/>
        <v>43516</v>
      </c>
      <c r="E80" s="204" t="s">
        <v>9</v>
      </c>
      <c r="F80" s="125">
        <v>9</v>
      </c>
      <c r="G80" s="205">
        <v>40</v>
      </c>
      <c r="H80" s="206">
        <f t="shared" si="1"/>
        <v>1696.78</v>
      </c>
      <c r="I80" s="206">
        <f t="shared" si="20"/>
        <v>1541.07</v>
      </c>
      <c r="J80" s="207">
        <f t="shared" si="3"/>
        <v>61642.799999999996</v>
      </c>
      <c r="K80" s="208">
        <f t="shared" si="11"/>
        <v>67871.199999999997</v>
      </c>
      <c r="L80" s="209">
        <f t="shared" si="19"/>
        <v>-6228.4000000000015</v>
      </c>
      <c r="M80" s="210">
        <f t="shared" si="7"/>
        <v>-312.80776048543123</v>
      </c>
      <c r="N80" s="211">
        <f t="shared" si="8"/>
        <v>-6541.207760485433</v>
      </c>
      <c r="O80" s="210">
        <v>0</v>
      </c>
      <c r="P80" s="210">
        <v>0</v>
      </c>
      <c r="Q80" s="210">
        <v>0</v>
      </c>
      <c r="R80" s="211">
        <f t="shared" si="9"/>
        <v>-6541.207760485433</v>
      </c>
    </row>
    <row r="81" spans="1:18" x14ac:dyDescent="0.25">
      <c r="A81" s="163">
        <v>2</v>
      </c>
      <c r="B81" s="202">
        <f t="shared" si="5"/>
        <v>43497</v>
      </c>
      <c r="C81" s="226">
        <f t="shared" si="23"/>
        <v>43529</v>
      </c>
      <c r="D81" s="226">
        <f t="shared" si="23"/>
        <v>43544</v>
      </c>
      <c r="E81" s="212" t="s">
        <v>9</v>
      </c>
      <c r="F81" s="163">
        <v>9</v>
      </c>
      <c r="G81" s="205">
        <v>40</v>
      </c>
      <c r="H81" s="206">
        <f t="shared" si="1"/>
        <v>1696.78</v>
      </c>
      <c r="I81" s="206">
        <f t="shared" si="20"/>
        <v>1541.07</v>
      </c>
      <c r="J81" s="207">
        <f t="shared" si="3"/>
        <v>61642.799999999996</v>
      </c>
      <c r="K81" s="208">
        <f t="shared" si="11"/>
        <v>67871.199999999997</v>
      </c>
      <c r="L81" s="209">
        <f t="shared" si="19"/>
        <v>-6228.4000000000015</v>
      </c>
      <c r="M81" s="210">
        <f t="shared" si="7"/>
        <v>-312.80776048543123</v>
      </c>
      <c r="N81" s="211">
        <f t="shared" si="8"/>
        <v>-6541.207760485433</v>
      </c>
      <c r="O81" s="210">
        <v>0</v>
      </c>
      <c r="P81" s="210">
        <v>0</v>
      </c>
      <c r="Q81" s="210">
        <v>0</v>
      </c>
      <c r="R81" s="211">
        <f t="shared" si="9"/>
        <v>-6541.207760485433</v>
      </c>
    </row>
    <row r="82" spans="1:18" x14ac:dyDescent="0.25">
      <c r="A82" s="163">
        <v>3</v>
      </c>
      <c r="B82" s="202">
        <f t="shared" si="5"/>
        <v>43525</v>
      </c>
      <c r="C82" s="226">
        <f t="shared" si="23"/>
        <v>43558</v>
      </c>
      <c r="D82" s="226">
        <f t="shared" si="23"/>
        <v>43573</v>
      </c>
      <c r="E82" s="212" t="s">
        <v>9</v>
      </c>
      <c r="F82" s="163">
        <v>9</v>
      </c>
      <c r="G82" s="205">
        <v>43</v>
      </c>
      <c r="H82" s="206">
        <f t="shared" si="1"/>
        <v>1696.78</v>
      </c>
      <c r="I82" s="206">
        <f t="shared" si="20"/>
        <v>1541.07</v>
      </c>
      <c r="J82" s="207">
        <f t="shared" si="3"/>
        <v>66266.009999999995</v>
      </c>
      <c r="K82" s="208">
        <f t="shared" si="11"/>
        <v>72961.539999999994</v>
      </c>
      <c r="L82" s="209">
        <f>+J82-K82</f>
        <v>-6695.5299999999988</v>
      </c>
      <c r="M82" s="210">
        <f t="shared" si="7"/>
        <v>-336.26834252183863</v>
      </c>
      <c r="N82" s="211">
        <f t="shared" si="8"/>
        <v>-7031.7983425218372</v>
      </c>
      <c r="O82" s="210">
        <v>0</v>
      </c>
      <c r="P82" s="210">
        <v>0</v>
      </c>
      <c r="Q82" s="210">
        <v>0</v>
      </c>
      <c r="R82" s="211">
        <f t="shared" si="9"/>
        <v>-7031.7983425218372</v>
      </c>
    </row>
    <row r="83" spans="1:18" ht="12" customHeight="1" x14ac:dyDescent="0.25">
      <c r="A83" s="125">
        <v>4</v>
      </c>
      <c r="B83" s="202">
        <f t="shared" si="5"/>
        <v>43556</v>
      </c>
      <c r="C83" s="226">
        <f t="shared" si="23"/>
        <v>43588</v>
      </c>
      <c r="D83" s="226">
        <f t="shared" si="23"/>
        <v>43605</v>
      </c>
      <c r="E83" s="54" t="s">
        <v>9</v>
      </c>
      <c r="F83" s="163">
        <v>9</v>
      </c>
      <c r="G83" s="205">
        <v>27</v>
      </c>
      <c r="H83" s="206">
        <f t="shared" si="1"/>
        <v>1696.78</v>
      </c>
      <c r="I83" s="206">
        <f t="shared" si="20"/>
        <v>1541.07</v>
      </c>
      <c r="J83" s="207">
        <f t="shared" si="3"/>
        <v>41608.89</v>
      </c>
      <c r="K83" s="208">
        <f t="shared" si="11"/>
        <v>45813.06</v>
      </c>
      <c r="L83" s="209">
        <f t="shared" ref="L83:L93" si="24">+J83-K83</f>
        <v>-4204.1699999999983</v>
      </c>
      <c r="M83" s="210">
        <f t="shared" si="7"/>
        <v>-211.14523832766608</v>
      </c>
      <c r="N83" s="211">
        <f t="shared" si="8"/>
        <v>-4415.3152383276647</v>
      </c>
      <c r="O83" s="210">
        <v>0</v>
      </c>
      <c r="P83" s="210">
        <v>0</v>
      </c>
      <c r="Q83" s="210">
        <v>0</v>
      </c>
      <c r="R83" s="211">
        <f t="shared" si="9"/>
        <v>-4415.3152383276647</v>
      </c>
    </row>
    <row r="84" spans="1:18" ht="12" customHeight="1" x14ac:dyDescent="0.25">
      <c r="A84" s="163">
        <v>5</v>
      </c>
      <c r="B84" s="202">
        <f t="shared" si="5"/>
        <v>43586</v>
      </c>
      <c r="C84" s="226">
        <f t="shared" si="23"/>
        <v>43621</v>
      </c>
      <c r="D84" s="226">
        <f t="shared" si="23"/>
        <v>43636</v>
      </c>
      <c r="E84" s="54" t="s">
        <v>9</v>
      </c>
      <c r="F84" s="163">
        <v>9</v>
      </c>
      <c r="G84" s="205">
        <v>33</v>
      </c>
      <c r="H84" s="206">
        <f t="shared" ref="H84:H147" si="25">$K$3</f>
        <v>1696.78</v>
      </c>
      <c r="I84" s="206">
        <f t="shared" si="20"/>
        <v>1541.07</v>
      </c>
      <c r="J84" s="207">
        <f t="shared" si="3"/>
        <v>50855.31</v>
      </c>
      <c r="K84" s="208">
        <f t="shared" si="11"/>
        <v>55993.74</v>
      </c>
      <c r="L84" s="209">
        <f t="shared" si="24"/>
        <v>-5138.43</v>
      </c>
      <c r="M84" s="210">
        <f t="shared" si="7"/>
        <v>-258.0664024004808</v>
      </c>
      <c r="N84" s="211">
        <f t="shared" si="8"/>
        <v>-5396.4964024004812</v>
      </c>
      <c r="O84" s="210">
        <v>0</v>
      </c>
      <c r="P84" s="210">
        <v>0</v>
      </c>
      <c r="Q84" s="210">
        <v>0</v>
      </c>
      <c r="R84" s="211">
        <f t="shared" si="9"/>
        <v>-5396.4964024004812</v>
      </c>
    </row>
    <row r="85" spans="1:18" x14ac:dyDescent="0.25">
      <c r="A85" s="163">
        <v>6</v>
      </c>
      <c r="B85" s="202">
        <f t="shared" si="5"/>
        <v>43617</v>
      </c>
      <c r="C85" s="226">
        <f t="shared" si="23"/>
        <v>43649</v>
      </c>
      <c r="D85" s="226">
        <f t="shared" si="23"/>
        <v>43664</v>
      </c>
      <c r="E85" s="54" t="s">
        <v>9</v>
      </c>
      <c r="F85" s="163">
        <v>9</v>
      </c>
      <c r="G85" s="205">
        <v>39</v>
      </c>
      <c r="H85" s="206">
        <f t="shared" si="25"/>
        <v>1696.78</v>
      </c>
      <c r="I85" s="206">
        <f t="shared" si="20"/>
        <v>1541.07</v>
      </c>
      <c r="J85" s="207">
        <f t="shared" si="3"/>
        <v>60101.729999999996</v>
      </c>
      <c r="K85" s="208">
        <f t="shared" si="11"/>
        <v>66174.42</v>
      </c>
      <c r="L85" s="213">
        <f t="shared" si="24"/>
        <v>-6072.6900000000023</v>
      </c>
      <c r="M85" s="210">
        <f t="shared" ref="M85:M148" si="26">G85/$G$212*$M$14</f>
        <v>-304.98756647329549</v>
      </c>
      <c r="N85" s="211">
        <f t="shared" ref="N85:N148" si="27">SUM(L85:M85)</f>
        <v>-6377.6775664732977</v>
      </c>
      <c r="O85" s="210">
        <v>0</v>
      </c>
      <c r="P85" s="210">
        <v>0</v>
      </c>
      <c r="Q85" s="210">
        <v>0</v>
      </c>
      <c r="R85" s="211">
        <f t="shared" ref="R85:R148" si="28">+N85-Q85</f>
        <v>-6377.6775664732977</v>
      </c>
    </row>
    <row r="86" spans="1:18" x14ac:dyDescent="0.25">
      <c r="A86" s="125">
        <v>7</v>
      </c>
      <c r="B86" s="202">
        <f t="shared" si="5"/>
        <v>43647</v>
      </c>
      <c r="C86" s="226">
        <f t="shared" si="23"/>
        <v>43682</v>
      </c>
      <c r="D86" s="226">
        <f t="shared" si="23"/>
        <v>43697</v>
      </c>
      <c r="E86" s="54" t="s">
        <v>9</v>
      </c>
      <c r="F86" s="163">
        <v>9</v>
      </c>
      <c r="G86" s="205">
        <v>39</v>
      </c>
      <c r="H86" s="206">
        <f t="shared" si="25"/>
        <v>1696.78</v>
      </c>
      <c r="I86" s="206">
        <f t="shared" si="20"/>
        <v>1541.07</v>
      </c>
      <c r="J86" s="207">
        <f t="shared" si="3"/>
        <v>60101.729999999996</v>
      </c>
      <c r="K86" s="214">
        <f t="shared" si="11"/>
        <v>66174.42</v>
      </c>
      <c r="L86" s="213">
        <f t="shared" si="24"/>
        <v>-6072.6900000000023</v>
      </c>
      <c r="M86" s="210">
        <f t="shared" si="26"/>
        <v>-304.98756647329549</v>
      </c>
      <c r="N86" s="211">
        <f t="shared" si="27"/>
        <v>-6377.6775664732977</v>
      </c>
      <c r="O86" s="210">
        <v>0</v>
      </c>
      <c r="P86" s="210">
        <v>0</v>
      </c>
      <c r="Q86" s="210">
        <v>0</v>
      </c>
      <c r="R86" s="211">
        <f t="shared" si="28"/>
        <v>-6377.6775664732977</v>
      </c>
    </row>
    <row r="87" spans="1:18" x14ac:dyDescent="0.25">
      <c r="A87" s="163">
        <v>8</v>
      </c>
      <c r="B87" s="202">
        <f t="shared" si="5"/>
        <v>43678</v>
      </c>
      <c r="C87" s="226">
        <f t="shared" si="23"/>
        <v>43712</v>
      </c>
      <c r="D87" s="226">
        <f t="shared" si="23"/>
        <v>43727</v>
      </c>
      <c r="E87" s="54" t="s">
        <v>9</v>
      </c>
      <c r="F87" s="163">
        <v>9</v>
      </c>
      <c r="G87" s="205">
        <v>43</v>
      </c>
      <c r="H87" s="206">
        <f t="shared" si="25"/>
        <v>1696.78</v>
      </c>
      <c r="I87" s="206">
        <f t="shared" si="20"/>
        <v>1541.07</v>
      </c>
      <c r="J87" s="207">
        <f t="shared" si="3"/>
        <v>66266.009999999995</v>
      </c>
      <c r="K87" s="214">
        <f t="shared" si="11"/>
        <v>72961.539999999994</v>
      </c>
      <c r="L87" s="213">
        <f t="shared" si="24"/>
        <v>-6695.5299999999988</v>
      </c>
      <c r="M87" s="210">
        <f t="shared" si="26"/>
        <v>-336.26834252183863</v>
      </c>
      <c r="N87" s="211">
        <f t="shared" si="27"/>
        <v>-7031.7983425218372</v>
      </c>
      <c r="O87" s="210">
        <v>0</v>
      </c>
      <c r="P87" s="210">
        <v>0</v>
      </c>
      <c r="Q87" s="210">
        <v>0</v>
      </c>
      <c r="R87" s="211">
        <f t="shared" si="28"/>
        <v>-7031.7983425218372</v>
      </c>
    </row>
    <row r="88" spans="1:18" x14ac:dyDescent="0.25">
      <c r="A88" s="163">
        <v>9</v>
      </c>
      <c r="B88" s="202">
        <f t="shared" si="5"/>
        <v>43709</v>
      </c>
      <c r="C88" s="226">
        <f t="shared" si="23"/>
        <v>43741</v>
      </c>
      <c r="D88" s="226">
        <f t="shared" si="23"/>
        <v>43756</v>
      </c>
      <c r="E88" s="54" t="s">
        <v>9</v>
      </c>
      <c r="F88" s="163">
        <v>9</v>
      </c>
      <c r="G88" s="205">
        <v>40</v>
      </c>
      <c r="H88" s="206">
        <f t="shared" si="25"/>
        <v>1696.78</v>
      </c>
      <c r="I88" s="206">
        <f t="shared" si="20"/>
        <v>1541.07</v>
      </c>
      <c r="J88" s="207">
        <f t="shared" si="3"/>
        <v>61642.799999999996</v>
      </c>
      <c r="K88" s="214">
        <f t="shared" si="11"/>
        <v>67871.199999999997</v>
      </c>
      <c r="L88" s="213">
        <f t="shared" si="24"/>
        <v>-6228.4000000000015</v>
      </c>
      <c r="M88" s="210">
        <f t="shared" si="26"/>
        <v>-312.80776048543123</v>
      </c>
      <c r="N88" s="211">
        <f t="shared" si="27"/>
        <v>-6541.207760485433</v>
      </c>
      <c r="O88" s="210">
        <v>0</v>
      </c>
      <c r="P88" s="210">
        <v>0</v>
      </c>
      <c r="Q88" s="210">
        <v>0</v>
      </c>
      <c r="R88" s="211">
        <f t="shared" si="28"/>
        <v>-6541.207760485433</v>
      </c>
    </row>
    <row r="89" spans="1:18" x14ac:dyDescent="0.25">
      <c r="A89" s="125">
        <v>10</v>
      </c>
      <c r="B89" s="202">
        <f t="shared" si="5"/>
        <v>43739</v>
      </c>
      <c r="C89" s="226">
        <f t="shared" si="23"/>
        <v>43774</v>
      </c>
      <c r="D89" s="226">
        <f t="shared" si="23"/>
        <v>43789</v>
      </c>
      <c r="E89" s="54" t="s">
        <v>9</v>
      </c>
      <c r="F89" s="163">
        <v>9</v>
      </c>
      <c r="G89" s="205">
        <v>30</v>
      </c>
      <c r="H89" s="206">
        <f t="shared" si="25"/>
        <v>1696.78</v>
      </c>
      <c r="I89" s="206">
        <f t="shared" si="20"/>
        <v>1541.07</v>
      </c>
      <c r="J89" s="207">
        <f t="shared" si="3"/>
        <v>46232.1</v>
      </c>
      <c r="K89" s="214">
        <f t="shared" si="11"/>
        <v>50903.4</v>
      </c>
      <c r="L89" s="213">
        <f t="shared" si="24"/>
        <v>-4671.3000000000029</v>
      </c>
      <c r="M89" s="210">
        <f t="shared" si="26"/>
        <v>-234.60582036407345</v>
      </c>
      <c r="N89" s="211">
        <f t="shared" si="27"/>
        <v>-4905.9058203640761</v>
      </c>
      <c r="O89" s="210">
        <v>0</v>
      </c>
      <c r="P89" s="210">
        <v>0</v>
      </c>
      <c r="Q89" s="210">
        <v>0</v>
      </c>
      <c r="R89" s="211">
        <f t="shared" si="28"/>
        <v>-4905.9058203640761</v>
      </c>
    </row>
    <row r="90" spans="1:18" x14ac:dyDescent="0.25">
      <c r="A90" s="163">
        <v>11</v>
      </c>
      <c r="B90" s="202">
        <f t="shared" si="5"/>
        <v>43770</v>
      </c>
      <c r="C90" s="226">
        <f t="shared" si="23"/>
        <v>43803</v>
      </c>
      <c r="D90" s="226">
        <f t="shared" si="23"/>
        <v>43818</v>
      </c>
      <c r="E90" s="54" t="s">
        <v>9</v>
      </c>
      <c r="F90" s="163">
        <v>9</v>
      </c>
      <c r="G90" s="205">
        <v>37</v>
      </c>
      <c r="H90" s="206">
        <f t="shared" si="25"/>
        <v>1696.78</v>
      </c>
      <c r="I90" s="206">
        <f t="shared" si="20"/>
        <v>1541.07</v>
      </c>
      <c r="J90" s="207">
        <f t="shared" si="3"/>
        <v>57019.59</v>
      </c>
      <c r="K90" s="214">
        <f t="shared" si="11"/>
        <v>62780.86</v>
      </c>
      <c r="L90" s="213">
        <f t="shared" si="24"/>
        <v>-5761.2700000000041</v>
      </c>
      <c r="M90" s="210">
        <f t="shared" si="26"/>
        <v>-289.34717844902389</v>
      </c>
      <c r="N90" s="211">
        <f t="shared" si="27"/>
        <v>-6050.617178449028</v>
      </c>
      <c r="O90" s="210">
        <v>0</v>
      </c>
      <c r="P90" s="210">
        <v>0</v>
      </c>
      <c r="Q90" s="210">
        <v>0</v>
      </c>
      <c r="R90" s="211">
        <f t="shared" si="28"/>
        <v>-6050.617178449028</v>
      </c>
    </row>
    <row r="91" spans="1:18" s="230" customFormat="1" x14ac:dyDescent="0.25">
      <c r="A91" s="163">
        <v>12</v>
      </c>
      <c r="B91" s="228">
        <f t="shared" si="5"/>
        <v>43800</v>
      </c>
      <c r="C91" s="226">
        <f t="shared" si="23"/>
        <v>43833</v>
      </c>
      <c r="D91" s="226">
        <f t="shared" si="23"/>
        <v>43850</v>
      </c>
      <c r="E91" s="229" t="s">
        <v>9</v>
      </c>
      <c r="F91" s="174">
        <v>9</v>
      </c>
      <c r="G91" s="217">
        <v>41</v>
      </c>
      <c r="H91" s="206">
        <f t="shared" si="25"/>
        <v>1696.78</v>
      </c>
      <c r="I91" s="218">
        <f t="shared" si="20"/>
        <v>1541.07</v>
      </c>
      <c r="J91" s="219">
        <f t="shared" si="3"/>
        <v>63183.869999999995</v>
      </c>
      <c r="K91" s="220">
        <f t="shared" si="11"/>
        <v>69567.98</v>
      </c>
      <c r="L91" s="221">
        <f t="shared" si="24"/>
        <v>-6384.1100000000006</v>
      </c>
      <c r="M91" s="210">
        <f t="shared" si="26"/>
        <v>-320.62795449756703</v>
      </c>
      <c r="N91" s="211">
        <f t="shared" si="27"/>
        <v>-6704.7379544975674</v>
      </c>
      <c r="O91" s="210">
        <v>0</v>
      </c>
      <c r="P91" s="210">
        <v>0</v>
      </c>
      <c r="Q91" s="210">
        <v>0</v>
      </c>
      <c r="R91" s="211">
        <f t="shared" si="28"/>
        <v>-6704.7379544975674</v>
      </c>
    </row>
    <row r="92" spans="1:18" x14ac:dyDescent="0.25">
      <c r="A92" s="125">
        <v>1</v>
      </c>
      <c r="B92" s="202">
        <f t="shared" si="5"/>
        <v>43466</v>
      </c>
      <c r="C92" s="223">
        <f t="shared" ref="C92:D95" si="29">+C80</f>
        <v>43501</v>
      </c>
      <c r="D92" s="223">
        <f t="shared" si="29"/>
        <v>43516</v>
      </c>
      <c r="E92" s="204" t="s">
        <v>8</v>
      </c>
      <c r="F92" s="125">
        <v>9</v>
      </c>
      <c r="G92" s="205">
        <v>76</v>
      </c>
      <c r="H92" s="206">
        <f t="shared" si="25"/>
        <v>1696.78</v>
      </c>
      <c r="I92" s="206">
        <f t="shared" si="20"/>
        <v>1541.07</v>
      </c>
      <c r="J92" s="207">
        <f t="shared" si="3"/>
        <v>117121.31999999999</v>
      </c>
      <c r="K92" s="208">
        <f t="shared" si="11"/>
        <v>128955.28</v>
      </c>
      <c r="L92" s="209">
        <f t="shared" si="24"/>
        <v>-11833.960000000006</v>
      </c>
      <c r="M92" s="210">
        <f t="shared" si="26"/>
        <v>-594.33474492231937</v>
      </c>
      <c r="N92" s="211">
        <f t="shared" si="27"/>
        <v>-12428.294744922327</v>
      </c>
      <c r="O92" s="210">
        <v>0</v>
      </c>
      <c r="P92" s="210">
        <v>0</v>
      </c>
      <c r="Q92" s="210">
        <v>0</v>
      </c>
      <c r="R92" s="211">
        <f t="shared" si="28"/>
        <v>-12428.294744922327</v>
      </c>
    </row>
    <row r="93" spans="1:18" x14ac:dyDescent="0.25">
      <c r="A93" s="163">
        <v>2</v>
      </c>
      <c r="B93" s="202">
        <f t="shared" si="5"/>
        <v>43497</v>
      </c>
      <c r="C93" s="226">
        <f t="shared" si="29"/>
        <v>43529</v>
      </c>
      <c r="D93" s="226">
        <f t="shared" si="29"/>
        <v>43544</v>
      </c>
      <c r="E93" s="212" t="s">
        <v>8</v>
      </c>
      <c r="F93" s="163">
        <v>9</v>
      </c>
      <c r="G93" s="205">
        <v>85</v>
      </c>
      <c r="H93" s="206">
        <f t="shared" si="25"/>
        <v>1696.78</v>
      </c>
      <c r="I93" s="206">
        <f t="shared" si="20"/>
        <v>1541.07</v>
      </c>
      <c r="J93" s="207">
        <f t="shared" si="3"/>
        <v>130990.95</v>
      </c>
      <c r="K93" s="208">
        <f t="shared" si="11"/>
        <v>144226.29999999999</v>
      </c>
      <c r="L93" s="209">
        <f t="shared" si="24"/>
        <v>-13235.349999999991</v>
      </c>
      <c r="M93" s="210">
        <f t="shared" si="26"/>
        <v>-664.71649103154141</v>
      </c>
      <c r="N93" s="211">
        <f t="shared" si="27"/>
        <v>-13900.066491031532</v>
      </c>
      <c r="O93" s="210">
        <v>0</v>
      </c>
      <c r="P93" s="210">
        <v>0</v>
      </c>
      <c r="Q93" s="210">
        <v>0</v>
      </c>
      <c r="R93" s="211">
        <f t="shared" si="28"/>
        <v>-13900.066491031532</v>
      </c>
    </row>
    <row r="94" spans="1:18" x14ac:dyDescent="0.25">
      <c r="A94" s="163">
        <v>3</v>
      </c>
      <c r="B94" s="202">
        <f t="shared" si="5"/>
        <v>43525</v>
      </c>
      <c r="C94" s="226">
        <f t="shared" si="29"/>
        <v>43558</v>
      </c>
      <c r="D94" s="226">
        <f t="shared" si="29"/>
        <v>43573</v>
      </c>
      <c r="E94" s="212" t="s">
        <v>8</v>
      </c>
      <c r="F94" s="163">
        <v>9</v>
      </c>
      <c r="G94" s="205">
        <v>86</v>
      </c>
      <c r="H94" s="206">
        <f t="shared" si="25"/>
        <v>1696.78</v>
      </c>
      <c r="I94" s="206">
        <f t="shared" si="20"/>
        <v>1541.07</v>
      </c>
      <c r="J94" s="207">
        <f t="shared" si="3"/>
        <v>132532.01999999999</v>
      </c>
      <c r="K94" s="208">
        <f t="shared" ref="K94:K133" si="30">+$G94*H94</f>
        <v>145923.07999999999</v>
      </c>
      <c r="L94" s="209">
        <f>+J94-K94</f>
        <v>-13391.059999999998</v>
      </c>
      <c r="M94" s="210">
        <f t="shared" si="26"/>
        <v>-672.53668504367727</v>
      </c>
      <c r="N94" s="211">
        <f t="shared" si="27"/>
        <v>-14063.596685043674</v>
      </c>
      <c r="O94" s="210">
        <v>0</v>
      </c>
      <c r="P94" s="210">
        <v>0</v>
      </c>
      <c r="Q94" s="210">
        <v>0</v>
      </c>
      <c r="R94" s="211">
        <f t="shared" si="28"/>
        <v>-14063.596685043674</v>
      </c>
    </row>
    <row r="95" spans="1:18" x14ac:dyDescent="0.25">
      <c r="A95" s="125">
        <v>4</v>
      </c>
      <c r="B95" s="202">
        <f t="shared" si="5"/>
        <v>43556</v>
      </c>
      <c r="C95" s="226">
        <f t="shared" si="29"/>
        <v>43588</v>
      </c>
      <c r="D95" s="226">
        <f t="shared" si="29"/>
        <v>43605</v>
      </c>
      <c r="E95" s="212" t="s">
        <v>8</v>
      </c>
      <c r="F95" s="163">
        <v>9</v>
      </c>
      <c r="G95" s="205">
        <v>78</v>
      </c>
      <c r="H95" s="206">
        <f t="shared" si="25"/>
        <v>1696.78</v>
      </c>
      <c r="I95" s="206">
        <f t="shared" si="20"/>
        <v>1541.07</v>
      </c>
      <c r="J95" s="207">
        <f t="shared" si="3"/>
        <v>120203.45999999999</v>
      </c>
      <c r="K95" s="208">
        <f t="shared" si="30"/>
        <v>132348.84</v>
      </c>
      <c r="L95" s="209">
        <f t="shared" ref="L95:L105" si="31">+J95-K95</f>
        <v>-12145.380000000005</v>
      </c>
      <c r="M95" s="210">
        <f t="shared" si="26"/>
        <v>-609.97513294659097</v>
      </c>
      <c r="N95" s="211">
        <f t="shared" si="27"/>
        <v>-12755.355132946595</v>
      </c>
      <c r="O95" s="210">
        <v>0</v>
      </c>
      <c r="P95" s="210">
        <v>0</v>
      </c>
      <c r="Q95" s="210">
        <v>0</v>
      </c>
      <c r="R95" s="211">
        <f t="shared" si="28"/>
        <v>-12755.355132946595</v>
      </c>
    </row>
    <row r="96" spans="1:18" x14ac:dyDescent="0.25">
      <c r="A96" s="163">
        <v>5</v>
      </c>
      <c r="B96" s="202">
        <f t="shared" si="5"/>
        <v>43586</v>
      </c>
      <c r="C96" s="226">
        <f t="shared" ref="C96:D116" si="32">+C84</f>
        <v>43621</v>
      </c>
      <c r="D96" s="226">
        <f t="shared" si="32"/>
        <v>43636</v>
      </c>
      <c r="E96" s="54" t="s">
        <v>8</v>
      </c>
      <c r="F96" s="163">
        <v>9</v>
      </c>
      <c r="G96" s="205">
        <v>92</v>
      </c>
      <c r="H96" s="206">
        <f t="shared" si="25"/>
        <v>1696.78</v>
      </c>
      <c r="I96" s="206">
        <f t="shared" si="20"/>
        <v>1541.07</v>
      </c>
      <c r="J96" s="207">
        <f t="shared" si="3"/>
        <v>141778.44</v>
      </c>
      <c r="K96" s="208">
        <f t="shared" si="30"/>
        <v>156103.76</v>
      </c>
      <c r="L96" s="209">
        <f t="shared" si="31"/>
        <v>-14325.320000000007</v>
      </c>
      <c r="M96" s="210">
        <f t="shared" si="26"/>
        <v>-719.45784911649184</v>
      </c>
      <c r="N96" s="211">
        <f t="shared" si="27"/>
        <v>-15044.777849116499</v>
      </c>
      <c r="O96" s="210">
        <v>0</v>
      </c>
      <c r="P96" s="210">
        <v>0</v>
      </c>
      <c r="Q96" s="210">
        <v>0</v>
      </c>
      <c r="R96" s="211">
        <f t="shared" si="28"/>
        <v>-15044.777849116499</v>
      </c>
    </row>
    <row r="97" spans="1:18" x14ac:dyDescent="0.25">
      <c r="A97" s="163">
        <v>6</v>
      </c>
      <c r="B97" s="202">
        <f t="shared" si="5"/>
        <v>43617</v>
      </c>
      <c r="C97" s="226">
        <f t="shared" si="32"/>
        <v>43649</v>
      </c>
      <c r="D97" s="226">
        <f t="shared" si="32"/>
        <v>43664</v>
      </c>
      <c r="E97" s="54" t="s">
        <v>8</v>
      </c>
      <c r="F97" s="163">
        <v>9</v>
      </c>
      <c r="G97" s="205">
        <v>138</v>
      </c>
      <c r="H97" s="206">
        <f t="shared" si="25"/>
        <v>1696.78</v>
      </c>
      <c r="I97" s="206">
        <f t="shared" si="20"/>
        <v>1541.07</v>
      </c>
      <c r="J97" s="207">
        <f t="shared" si="3"/>
        <v>212667.66</v>
      </c>
      <c r="K97" s="208">
        <f t="shared" si="30"/>
        <v>234155.63999999998</v>
      </c>
      <c r="L97" s="213">
        <f t="shared" si="31"/>
        <v>-21487.979999999981</v>
      </c>
      <c r="M97" s="210">
        <f t="shared" si="26"/>
        <v>-1079.1867736747377</v>
      </c>
      <c r="N97" s="211">
        <f t="shared" si="27"/>
        <v>-22567.166773674719</v>
      </c>
      <c r="O97" s="210">
        <v>0</v>
      </c>
      <c r="P97" s="210">
        <v>0</v>
      </c>
      <c r="Q97" s="210">
        <v>0</v>
      </c>
      <c r="R97" s="211">
        <f t="shared" si="28"/>
        <v>-22567.166773674719</v>
      </c>
    </row>
    <row r="98" spans="1:18" x14ac:dyDescent="0.25">
      <c r="A98" s="125">
        <v>7</v>
      </c>
      <c r="B98" s="202">
        <f t="shared" si="5"/>
        <v>43647</v>
      </c>
      <c r="C98" s="226">
        <f t="shared" si="32"/>
        <v>43682</v>
      </c>
      <c r="D98" s="226">
        <f t="shared" si="32"/>
        <v>43697</v>
      </c>
      <c r="E98" s="54" t="s">
        <v>8</v>
      </c>
      <c r="F98" s="163">
        <v>9</v>
      </c>
      <c r="G98" s="205">
        <v>147</v>
      </c>
      <c r="H98" s="206">
        <f t="shared" si="25"/>
        <v>1696.78</v>
      </c>
      <c r="I98" s="206">
        <f t="shared" si="20"/>
        <v>1541.07</v>
      </c>
      <c r="J98" s="207">
        <f t="shared" si="3"/>
        <v>226537.28999999998</v>
      </c>
      <c r="K98" s="214">
        <f t="shared" si="30"/>
        <v>249426.66</v>
      </c>
      <c r="L98" s="213">
        <f t="shared" si="31"/>
        <v>-22889.370000000024</v>
      </c>
      <c r="M98" s="210">
        <f t="shared" si="26"/>
        <v>-1149.5685197839598</v>
      </c>
      <c r="N98" s="211">
        <f t="shared" si="27"/>
        <v>-24038.938519783984</v>
      </c>
      <c r="O98" s="210">
        <v>0</v>
      </c>
      <c r="P98" s="210">
        <v>0</v>
      </c>
      <c r="Q98" s="210">
        <v>0</v>
      </c>
      <c r="R98" s="211">
        <f t="shared" si="28"/>
        <v>-24038.938519783984</v>
      </c>
    </row>
    <row r="99" spans="1:18" x14ac:dyDescent="0.25">
      <c r="A99" s="163">
        <v>8</v>
      </c>
      <c r="B99" s="202">
        <f t="shared" si="5"/>
        <v>43678</v>
      </c>
      <c r="C99" s="226">
        <f t="shared" si="32"/>
        <v>43712</v>
      </c>
      <c r="D99" s="226">
        <f t="shared" si="32"/>
        <v>43727</v>
      </c>
      <c r="E99" s="54" t="s">
        <v>8</v>
      </c>
      <c r="F99" s="163">
        <v>9</v>
      </c>
      <c r="G99" s="205">
        <v>156</v>
      </c>
      <c r="H99" s="206">
        <f t="shared" si="25"/>
        <v>1696.78</v>
      </c>
      <c r="I99" s="206">
        <f t="shared" si="20"/>
        <v>1541.07</v>
      </c>
      <c r="J99" s="207">
        <f t="shared" si="3"/>
        <v>240406.91999999998</v>
      </c>
      <c r="K99" s="214">
        <f t="shared" si="30"/>
        <v>264697.68</v>
      </c>
      <c r="L99" s="213">
        <f t="shared" si="31"/>
        <v>-24290.760000000009</v>
      </c>
      <c r="M99" s="210">
        <f t="shared" si="26"/>
        <v>-1219.9502658931819</v>
      </c>
      <c r="N99" s="211">
        <f t="shared" si="27"/>
        <v>-25510.710265893191</v>
      </c>
      <c r="O99" s="210">
        <v>0</v>
      </c>
      <c r="P99" s="210">
        <v>0</v>
      </c>
      <c r="Q99" s="210">
        <v>0</v>
      </c>
      <c r="R99" s="211">
        <f t="shared" si="28"/>
        <v>-25510.710265893191</v>
      </c>
    </row>
    <row r="100" spans="1:18" x14ac:dyDescent="0.25">
      <c r="A100" s="163">
        <v>9</v>
      </c>
      <c r="B100" s="202">
        <f t="shared" si="5"/>
        <v>43709</v>
      </c>
      <c r="C100" s="226">
        <f t="shared" si="32"/>
        <v>43741</v>
      </c>
      <c r="D100" s="226">
        <f t="shared" si="32"/>
        <v>43756</v>
      </c>
      <c r="E100" s="54" t="s">
        <v>8</v>
      </c>
      <c r="F100" s="163">
        <v>9</v>
      </c>
      <c r="G100" s="205">
        <v>140</v>
      </c>
      <c r="H100" s="206">
        <f t="shared" si="25"/>
        <v>1696.78</v>
      </c>
      <c r="I100" s="206">
        <f t="shared" si="20"/>
        <v>1541.07</v>
      </c>
      <c r="J100" s="207">
        <f t="shared" si="3"/>
        <v>215749.8</v>
      </c>
      <c r="K100" s="214">
        <f t="shared" si="30"/>
        <v>237549.19999999998</v>
      </c>
      <c r="L100" s="213">
        <f t="shared" si="31"/>
        <v>-21799.399999999994</v>
      </c>
      <c r="M100" s="210">
        <f t="shared" si="26"/>
        <v>-1094.8271616990094</v>
      </c>
      <c r="N100" s="211">
        <f t="shared" si="27"/>
        <v>-22894.227161699004</v>
      </c>
      <c r="O100" s="210">
        <v>0</v>
      </c>
      <c r="P100" s="210">
        <v>0</v>
      </c>
      <c r="Q100" s="210">
        <v>0</v>
      </c>
      <c r="R100" s="211">
        <f t="shared" si="28"/>
        <v>-22894.227161699004</v>
      </c>
    </row>
    <row r="101" spans="1:18" x14ac:dyDescent="0.25">
      <c r="A101" s="125">
        <v>10</v>
      </c>
      <c r="B101" s="202">
        <f t="shared" si="5"/>
        <v>43739</v>
      </c>
      <c r="C101" s="226">
        <f t="shared" si="32"/>
        <v>43774</v>
      </c>
      <c r="D101" s="226">
        <f t="shared" si="32"/>
        <v>43789</v>
      </c>
      <c r="E101" s="54" t="s">
        <v>8</v>
      </c>
      <c r="F101" s="163">
        <v>9</v>
      </c>
      <c r="G101" s="205">
        <v>125</v>
      </c>
      <c r="H101" s="206">
        <f t="shared" si="25"/>
        <v>1696.78</v>
      </c>
      <c r="I101" s="206">
        <f t="shared" si="20"/>
        <v>1541.07</v>
      </c>
      <c r="J101" s="207">
        <f t="shared" si="3"/>
        <v>192633.75</v>
      </c>
      <c r="K101" s="214">
        <f t="shared" si="30"/>
        <v>212097.5</v>
      </c>
      <c r="L101" s="213">
        <f t="shared" si="31"/>
        <v>-19463.75</v>
      </c>
      <c r="M101" s="210">
        <f t="shared" si="26"/>
        <v>-977.52425151697253</v>
      </c>
      <c r="N101" s="211">
        <f t="shared" si="27"/>
        <v>-20441.274251516974</v>
      </c>
      <c r="O101" s="210">
        <v>0</v>
      </c>
      <c r="P101" s="210">
        <v>0</v>
      </c>
      <c r="Q101" s="210">
        <v>0</v>
      </c>
      <c r="R101" s="211">
        <f t="shared" si="28"/>
        <v>-20441.274251516974</v>
      </c>
    </row>
    <row r="102" spans="1:18" x14ac:dyDescent="0.25">
      <c r="A102" s="163">
        <v>11</v>
      </c>
      <c r="B102" s="202">
        <f t="shared" si="5"/>
        <v>43770</v>
      </c>
      <c r="C102" s="226">
        <f t="shared" si="32"/>
        <v>43803</v>
      </c>
      <c r="D102" s="226">
        <f t="shared" si="32"/>
        <v>43818</v>
      </c>
      <c r="E102" s="54" t="s">
        <v>8</v>
      </c>
      <c r="F102" s="163">
        <v>9</v>
      </c>
      <c r="G102" s="205">
        <v>79</v>
      </c>
      <c r="H102" s="206">
        <f t="shared" si="25"/>
        <v>1696.78</v>
      </c>
      <c r="I102" s="206">
        <f t="shared" si="20"/>
        <v>1541.07</v>
      </c>
      <c r="J102" s="207">
        <f t="shared" si="3"/>
        <v>121744.53</v>
      </c>
      <c r="K102" s="214">
        <f t="shared" si="30"/>
        <v>134045.62</v>
      </c>
      <c r="L102" s="213">
        <f t="shared" si="31"/>
        <v>-12301.089999999997</v>
      </c>
      <c r="M102" s="210">
        <f t="shared" si="26"/>
        <v>-617.79532695872672</v>
      </c>
      <c r="N102" s="211">
        <f t="shared" si="27"/>
        <v>-12918.885326958723</v>
      </c>
      <c r="O102" s="210">
        <v>0</v>
      </c>
      <c r="P102" s="210">
        <v>0</v>
      </c>
      <c r="Q102" s="210">
        <v>0</v>
      </c>
      <c r="R102" s="211">
        <f t="shared" si="28"/>
        <v>-12918.885326958723</v>
      </c>
    </row>
    <row r="103" spans="1:18" s="230" customFormat="1" x14ac:dyDescent="0.25">
      <c r="A103" s="163">
        <v>12</v>
      </c>
      <c r="B103" s="228">
        <f t="shared" si="5"/>
        <v>43800</v>
      </c>
      <c r="C103" s="226">
        <f t="shared" si="32"/>
        <v>43833</v>
      </c>
      <c r="D103" s="226">
        <f t="shared" si="32"/>
        <v>43850</v>
      </c>
      <c r="E103" s="229" t="s">
        <v>8</v>
      </c>
      <c r="F103" s="174">
        <v>9</v>
      </c>
      <c r="G103" s="217">
        <v>81</v>
      </c>
      <c r="H103" s="206">
        <f t="shared" si="25"/>
        <v>1696.78</v>
      </c>
      <c r="I103" s="218">
        <f t="shared" si="20"/>
        <v>1541.07</v>
      </c>
      <c r="J103" s="219">
        <f t="shared" si="3"/>
        <v>124826.67</v>
      </c>
      <c r="K103" s="220">
        <f t="shared" si="30"/>
        <v>137439.18</v>
      </c>
      <c r="L103" s="221">
        <f t="shared" si="31"/>
        <v>-12612.509999999995</v>
      </c>
      <c r="M103" s="210">
        <f t="shared" si="26"/>
        <v>-633.43571498299832</v>
      </c>
      <c r="N103" s="211">
        <f t="shared" si="27"/>
        <v>-13245.945714982992</v>
      </c>
      <c r="O103" s="210">
        <v>0</v>
      </c>
      <c r="P103" s="210">
        <v>0</v>
      </c>
      <c r="Q103" s="210">
        <v>0</v>
      </c>
      <c r="R103" s="211">
        <f t="shared" si="28"/>
        <v>-13245.945714982992</v>
      </c>
    </row>
    <row r="104" spans="1:18" x14ac:dyDescent="0.25">
      <c r="A104" s="125">
        <v>1</v>
      </c>
      <c r="B104" s="202">
        <f t="shared" si="5"/>
        <v>43466</v>
      </c>
      <c r="C104" s="223">
        <f t="shared" si="32"/>
        <v>43501</v>
      </c>
      <c r="D104" s="223">
        <f t="shared" si="32"/>
        <v>43516</v>
      </c>
      <c r="E104" s="204" t="s">
        <v>19</v>
      </c>
      <c r="F104" s="125">
        <v>9</v>
      </c>
      <c r="G104" s="205">
        <v>43</v>
      </c>
      <c r="H104" s="206">
        <f t="shared" si="25"/>
        <v>1696.78</v>
      </c>
      <c r="I104" s="206">
        <f t="shared" si="20"/>
        <v>1541.07</v>
      </c>
      <c r="J104" s="207">
        <f t="shared" si="3"/>
        <v>66266.009999999995</v>
      </c>
      <c r="K104" s="208">
        <f t="shared" si="30"/>
        <v>72961.539999999994</v>
      </c>
      <c r="L104" s="209">
        <f t="shared" si="31"/>
        <v>-6695.5299999999988</v>
      </c>
      <c r="M104" s="210">
        <f t="shared" si="26"/>
        <v>-336.26834252183863</v>
      </c>
      <c r="N104" s="211">
        <f t="shared" si="27"/>
        <v>-7031.7983425218372</v>
      </c>
      <c r="O104" s="210">
        <v>0</v>
      </c>
      <c r="P104" s="210">
        <v>0</v>
      </c>
      <c r="Q104" s="210">
        <v>0</v>
      </c>
      <c r="R104" s="211">
        <f t="shared" si="28"/>
        <v>-7031.7983425218372</v>
      </c>
    </row>
    <row r="105" spans="1:18" x14ac:dyDescent="0.25">
      <c r="A105" s="163">
        <v>2</v>
      </c>
      <c r="B105" s="202">
        <f t="shared" si="5"/>
        <v>43497</v>
      </c>
      <c r="C105" s="226">
        <f t="shared" si="32"/>
        <v>43529</v>
      </c>
      <c r="D105" s="226">
        <f t="shared" si="32"/>
        <v>43544</v>
      </c>
      <c r="E105" s="212" t="s">
        <v>19</v>
      </c>
      <c r="F105" s="163">
        <v>9</v>
      </c>
      <c r="G105" s="205">
        <v>37</v>
      </c>
      <c r="H105" s="206">
        <f t="shared" si="25"/>
        <v>1696.78</v>
      </c>
      <c r="I105" s="206">
        <f t="shared" si="20"/>
        <v>1541.07</v>
      </c>
      <c r="J105" s="207">
        <f t="shared" si="3"/>
        <v>57019.59</v>
      </c>
      <c r="K105" s="208">
        <f t="shared" si="30"/>
        <v>62780.86</v>
      </c>
      <c r="L105" s="209">
        <f t="shared" si="31"/>
        <v>-5761.2700000000041</v>
      </c>
      <c r="M105" s="210">
        <f t="shared" si="26"/>
        <v>-289.34717844902389</v>
      </c>
      <c r="N105" s="211">
        <f t="shared" si="27"/>
        <v>-6050.617178449028</v>
      </c>
      <c r="O105" s="210">
        <v>0</v>
      </c>
      <c r="P105" s="210">
        <v>0</v>
      </c>
      <c r="Q105" s="210">
        <v>0</v>
      </c>
      <c r="R105" s="211">
        <f t="shared" si="28"/>
        <v>-6050.617178449028</v>
      </c>
    </row>
    <row r="106" spans="1:18" x14ac:dyDescent="0.25">
      <c r="A106" s="163">
        <v>3</v>
      </c>
      <c r="B106" s="202">
        <f t="shared" si="5"/>
        <v>43525</v>
      </c>
      <c r="C106" s="226">
        <f t="shared" si="32"/>
        <v>43558</v>
      </c>
      <c r="D106" s="226">
        <f t="shared" si="32"/>
        <v>43573</v>
      </c>
      <c r="E106" s="212" t="s">
        <v>19</v>
      </c>
      <c r="F106" s="163">
        <v>9</v>
      </c>
      <c r="G106" s="205">
        <v>40</v>
      </c>
      <c r="H106" s="206">
        <f t="shared" si="25"/>
        <v>1696.78</v>
      </c>
      <c r="I106" s="206">
        <f t="shared" si="20"/>
        <v>1541.07</v>
      </c>
      <c r="J106" s="207">
        <f t="shared" si="3"/>
        <v>61642.799999999996</v>
      </c>
      <c r="K106" s="208">
        <f t="shared" si="30"/>
        <v>67871.199999999997</v>
      </c>
      <c r="L106" s="209">
        <f>+J106-K106</f>
        <v>-6228.4000000000015</v>
      </c>
      <c r="M106" s="210">
        <f t="shared" si="26"/>
        <v>-312.80776048543123</v>
      </c>
      <c r="N106" s="211">
        <f t="shared" si="27"/>
        <v>-6541.207760485433</v>
      </c>
      <c r="O106" s="210">
        <v>0</v>
      </c>
      <c r="P106" s="210">
        <v>0</v>
      </c>
      <c r="Q106" s="210">
        <v>0</v>
      </c>
      <c r="R106" s="211">
        <f t="shared" si="28"/>
        <v>-6541.207760485433</v>
      </c>
    </row>
    <row r="107" spans="1:18" x14ac:dyDescent="0.25">
      <c r="A107" s="125">
        <v>4</v>
      </c>
      <c r="B107" s="202">
        <f t="shared" si="5"/>
        <v>43556</v>
      </c>
      <c r="C107" s="226">
        <f t="shared" si="32"/>
        <v>43588</v>
      </c>
      <c r="D107" s="226">
        <f t="shared" si="32"/>
        <v>43605</v>
      </c>
      <c r="E107" s="54" t="s">
        <v>19</v>
      </c>
      <c r="F107" s="163">
        <v>9</v>
      </c>
      <c r="G107" s="205">
        <v>36</v>
      </c>
      <c r="H107" s="206">
        <f t="shared" si="25"/>
        <v>1696.78</v>
      </c>
      <c r="I107" s="206">
        <f t="shared" si="20"/>
        <v>1541.07</v>
      </c>
      <c r="J107" s="207">
        <f t="shared" si="3"/>
        <v>55478.52</v>
      </c>
      <c r="K107" s="208">
        <f t="shared" si="30"/>
        <v>61084.08</v>
      </c>
      <c r="L107" s="209">
        <f t="shared" ref="L107:L115" si="33">+J107-K107</f>
        <v>-5605.5600000000049</v>
      </c>
      <c r="M107" s="210">
        <f t="shared" si="26"/>
        <v>-281.52698443688814</v>
      </c>
      <c r="N107" s="211">
        <f t="shared" si="27"/>
        <v>-5887.0869844368935</v>
      </c>
      <c r="O107" s="210">
        <v>0</v>
      </c>
      <c r="P107" s="210">
        <v>0</v>
      </c>
      <c r="Q107" s="210">
        <v>0</v>
      </c>
      <c r="R107" s="211">
        <f t="shared" si="28"/>
        <v>-5887.0869844368935</v>
      </c>
    </row>
    <row r="108" spans="1:18" x14ac:dyDescent="0.25">
      <c r="A108" s="163">
        <v>5</v>
      </c>
      <c r="B108" s="202">
        <f t="shared" si="5"/>
        <v>43586</v>
      </c>
      <c r="C108" s="226">
        <f t="shared" si="32"/>
        <v>43621</v>
      </c>
      <c r="D108" s="226">
        <f t="shared" si="32"/>
        <v>43636</v>
      </c>
      <c r="E108" s="54" t="s">
        <v>19</v>
      </c>
      <c r="F108" s="163">
        <v>9</v>
      </c>
      <c r="G108" s="205">
        <v>41</v>
      </c>
      <c r="H108" s="206">
        <f t="shared" si="25"/>
        <v>1696.78</v>
      </c>
      <c r="I108" s="206">
        <f t="shared" ref="I108:I127" si="34">$J$3</f>
        <v>1541.07</v>
      </c>
      <c r="J108" s="207">
        <f t="shared" si="3"/>
        <v>63183.869999999995</v>
      </c>
      <c r="K108" s="208">
        <f t="shared" si="30"/>
        <v>69567.98</v>
      </c>
      <c r="L108" s="209">
        <f t="shared" si="33"/>
        <v>-6384.1100000000006</v>
      </c>
      <c r="M108" s="210">
        <f t="shared" si="26"/>
        <v>-320.62795449756703</v>
      </c>
      <c r="N108" s="211">
        <f t="shared" si="27"/>
        <v>-6704.7379544975674</v>
      </c>
      <c r="O108" s="210">
        <v>0</v>
      </c>
      <c r="P108" s="210">
        <v>0</v>
      </c>
      <c r="Q108" s="210">
        <v>0</v>
      </c>
      <c r="R108" s="211">
        <f t="shared" si="28"/>
        <v>-6704.7379544975674</v>
      </c>
    </row>
    <row r="109" spans="1:18" x14ac:dyDescent="0.25">
      <c r="A109" s="163">
        <v>6</v>
      </c>
      <c r="B109" s="202">
        <f t="shared" ref="B109:B148" si="35">DATE($R$1,A109,1)</f>
        <v>43617</v>
      </c>
      <c r="C109" s="226">
        <f t="shared" si="32"/>
        <v>43649</v>
      </c>
      <c r="D109" s="226">
        <f t="shared" si="32"/>
        <v>43664</v>
      </c>
      <c r="E109" s="54" t="s">
        <v>19</v>
      </c>
      <c r="F109" s="163">
        <v>9</v>
      </c>
      <c r="G109" s="205">
        <v>40</v>
      </c>
      <c r="H109" s="206">
        <f t="shared" si="25"/>
        <v>1696.78</v>
      </c>
      <c r="I109" s="206">
        <f t="shared" si="34"/>
        <v>1541.07</v>
      </c>
      <c r="J109" s="207">
        <f t="shared" ref="J109:J148" si="36">+$G109*I109</f>
        <v>61642.799999999996</v>
      </c>
      <c r="K109" s="208">
        <f t="shared" si="30"/>
        <v>67871.199999999997</v>
      </c>
      <c r="L109" s="213">
        <f t="shared" si="33"/>
        <v>-6228.4000000000015</v>
      </c>
      <c r="M109" s="210">
        <f t="shared" si="26"/>
        <v>-312.80776048543123</v>
      </c>
      <c r="N109" s="211">
        <f t="shared" si="27"/>
        <v>-6541.207760485433</v>
      </c>
      <c r="O109" s="210">
        <v>0</v>
      </c>
      <c r="P109" s="210">
        <v>0</v>
      </c>
      <c r="Q109" s="210">
        <v>0</v>
      </c>
      <c r="R109" s="211">
        <f t="shared" si="28"/>
        <v>-6541.207760485433</v>
      </c>
    </row>
    <row r="110" spans="1:18" x14ac:dyDescent="0.25">
      <c r="A110" s="125">
        <v>7</v>
      </c>
      <c r="B110" s="202">
        <f t="shared" si="35"/>
        <v>43647</v>
      </c>
      <c r="C110" s="226">
        <f t="shared" si="32"/>
        <v>43682</v>
      </c>
      <c r="D110" s="226">
        <f t="shared" si="32"/>
        <v>43697</v>
      </c>
      <c r="E110" s="54" t="s">
        <v>19</v>
      </c>
      <c r="F110" s="163">
        <v>9</v>
      </c>
      <c r="G110" s="205">
        <v>46</v>
      </c>
      <c r="H110" s="206">
        <f t="shared" si="25"/>
        <v>1696.78</v>
      </c>
      <c r="I110" s="206">
        <f t="shared" si="34"/>
        <v>1541.07</v>
      </c>
      <c r="J110" s="207">
        <f t="shared" si="36"/>
        <v>70889.22</v>
      </c>
      <c r="K110" s="214">
        <f t="shared" si="30"/>
        <v>78051.88</v>
      </c>
      <c r="L110" s="213">
        <f t="shared" si="33"/>
        <v>-7162.6600000000035</v>
      </c>
      <c r="M110" s="210">
        <f t="shared" si="26"/>
        <v>-359.72892455824592</v>
      </c>
      <c r="N110" s="211">
        <f t="shared" si="27"/>
        <v>-7522.3889245582495</v>
      </c>
      <c r="O110" s="210">
        <v>0</v>
      </c>
      <c r="P110" s="210">
        <v>0</v>
      </c>
      <c r="Q110" s="210">
        <v>0</v>
      </c>
      <c r="R110" s="211">
        <f t="shared" si="28"/>
        <v>-7522.3889245582495</v>
      </c>
    </row>
    <row r="111" spans="1:18" x14ac:dyDescent="0.25">
      <c r="A111" s="163">
        <v>8</v>
      </c>
      <c r="B111" s="202">
        <f t="shared" si="35"/>
        <v>43678</v>
      </c>
      <c r="C111" s="226">
        <f t="shared" si="32"/>
        <v>43712</v>
      </c>
      <c r="D111" s="226">
        <f t="shared" si="32"/>
        <v>43727</v>
      </c>
      <c r="E111" s="54" t="s">
        <v>19</v>
      </c>
      <c r="F111" s="163">
        <v>9</v>
      </c>
      <c r="G111" s="205">
        <v>47</v>
      </c>
      <c r="H111" s="206">
        <f t="shared" si="25"/>
        <v>1696.78</v>
      </c>
      <c r="I111" s="206">
        <f t="shared" si="34"/>
        <v>1541.07</v>
      </c>
      <c r="J111" s="207">
        <f t="shared" si="36"/>
        <v>72430.289999999994</v>
      </c>
      <c r="K111" s="214">
        <f t="shared" si="30"/>
        <v>79748.66</v>
      </c>
      <c r="L111" s="213">
        <f t="shared" si="33"/>
        <v>-7318.3700000000099</v>
      </c>
      <c r="M111" s="210">
        <f t="shared" si="26"/>
        <v>-367.54911857038172</v>
      </c>
      <c r="N111" s="211">
        <f t="shared" si="27"/>
        <v>-7685.9191185703912</v>
      </c>
      <c r="O111" s="210">
        <v>0</v>
      </c>
      <c r="P111" s="210">
        <v>0</v>
      </c>
      <c r="Q111" s="210">
        <v>0</v>
      </c>
      <c r="R111" s="211">
        <f t="shared" si="28"/>
        <v>-7685.9191185703912</v>
      </c>
    </row>
    <row r="112" spans="1:18" x14ac:dyDescent="0.25">
      <c r="A112" s="163">
        <v>9</v>
      </c>
      <c r="B112" s="202">
        <f t="shared" si="35"/>
        <v>43709</v>
      </c>
      <c r="C112" s="226">
        <f t="shared" si="32"/>
        <v>43741</v>
      </c>
      <c r="D112" s="226">
        <f t="shared" si="32"/>
        <v>43756</v>
      </c>
      <c r="E112" s="54" t="s">
        <v>19</v>
      </c>
      <c r="F112" s="163">
        <v>9</v>
      </c>
      <c r="G112" s="205">
        <v>45</v>
      </c>
      <c r="H112" s="206">
        <f t="shared" si="25"/>
        <v>1696.78</v>
      </c>
      <c r="I112" s="206">
        <f t="shared" si="34"/>
        <v>1541.07</v>
      </c>
      <c r="J112" s="207">
        <f t="shared" si="36"/>
        <v>69348.149999999994</v>
      </c>
      <c r="K112" s="214">
        <f t="shared" si="30"/>
        <v>76355.100000000006</v>
      </c>
      <c r="L112" s="213">
        <f t="shared" si="33"/>
        <v>-7006.9500000000116</v>
      </c>
      <c r="M112" s="210">
        <f t="shared" si="26"/>
        <v>-351.90873054611018</v>
      </c>
      <c r="N112" s="211">
        <f t="shared" si="27"/>
        <v>-7358.8587305461215</v>
      </c>
      <c r="O112" s="210">
        <v>0</v>
      </c>
      <c r="P112" s="210">
        <v>0</v>
      </c>
      <c r="Q112" s="210">
        <v>0</v>
      </c>
      <c r="R112" s="211">
        <f t="shared" si="28"/>
        <v>-7358.8587305461215</v>
      </c>
    </row>
    <row r="113" spans="1:18" x14ac:dyDescent="0.25">
      <c r="A113" s="125">
        <v>10</v>
      </c>
      <c r="B113" s="202">
        <f t="shared" si="35"/>
        <v>43739</v>
      </c>
      <c r="C113" s="226">
        <f t="shared" si="32"/>
        <v>43774</v>
      </c>
      <c r="D113" s="226">
        <f t="shared" si="32"/>
        <v>43789</v>
      </c>
      <c r="E113" s="54" t="s">
        <v>19</v>
      </c>
      <c r="F113" s="163">
        <v>9</v>
      </c>
      <c r="G113" s="205">
        <v>42.116999999999997</v>
      </c>
      <c r="H113" s="206">
        <f t="shared" si="25"/>
        <v>1696.78</v>
      </c>
      <c r="I113" s="206">
        <f t="shared" si="34"/>
        <v>1541.07</v>
      </c>
      <c r="J113" s="207">
        <f t="shared" si="36"/>
        <v>64905.245189999994</v>
      </c>
      <c r="K113" s="214">
        <f t="shared" si="30"/>
        <v>71463.283259999997</v>
      </c>
      <c r="L113" s="213">
        <f t="shared" si="33"/>
        <v>-6558.0380700000023</v>
      </c>
      <c r="M113" s="210">
        <f t="shared" si="26"/>
        <v>-329.36311120912268</v>
      </c>
      <c r="N113" s="211">
        <f t="shared" si="27"/>
        <v>-6887.4011812091248</v>
      </c>
      <c r="O113" s="210">
        <v>0</v>
      </c>
      <c r="P113" s="210">
        <v>0</v>
      </c>
      <c r="Q113" s="210">
        <v>0</v>
      </c>
      <c r="R113" s="211">
        <f t="shared" si="28"/>
        <v>-6887.4011812091248</v>
      </c>
    </row>
    <row r="114" spans="1:18" x14ac:dyDescent="0.25">
      <c r="A114" s="163">
        <v>11</v>
      </c>
      <c r="B114" s="202">
        <f t="shared" si="35"/>
        <v>43770</v>
      </c>
      <c r="C114" s="226">
        <f t="shared" si="32"/>
        <v>43803</v>
      </c>
      <c r="D114" s="226">
        <f t="shared" si="32"/>
        <v>43818</v>
      </c>
      <c r="E114" s="54" t="s">
        <v>19</v>
      </c>
      <c r="F114" s="163">
        <v>9</v>
      </c>
      <c r="G114" s="205">
        <v>43</v>
      </c>
      <c r="H114" s="206">
        <f t="shared" si="25"/>
        <v>1696.78</v>
      </c>
      <c r="I114" s="206">
        <f t="shared" si="34"/>
        <v>1541.07</v>
      </c>
      <c r="J114" s="207">
        <f t="shared" si="36"/>
        <v>66266.009999999995</v>
      </c>
      <c r="K114" s="214">
        <f t="shared" si="30"/>
        <v>72961.539999999994</v>
      </c>
      <c r="L114" s="213">
        <f t="shared" si="33"/>
        <v>-6695.5299999999988</v>
      </c>
      <c r="M114" s="210">
        <f t="shared" si="26"/>
        <v>-336.26834252183863</v>
      </c>
      <c r="N114" s="211">
        <f t="shared" si="27"/>
        <v>-7031.7983425218372</v>
      </c>
      <c r="O114" s="210">
        <v>0</v>
      </c>
      <c r="P114" s="210">
        <v>0</v>
      </c>
      <c r="Q114" s="210">
        <v>0</v>
      </c>
      <c r="R114" s="211">
        <f t="shared" si="28"/>
        <v>-7031.7983425218372</v>
      </c>
    </row>
    <row r="115" spans="1:18" s="230" customFormat="1" x14ac:dyDescent="0.25">
      <c r="A115" s="163">
        <v>12</v>
      </c>
      <c r="B115" s="228">
        <f t="shared" si="35"/>
        <v>43800</v>
      </c>
      <c r="C115" s="231">
        <f t="shared" si="32"/>
        <v>43833</v>
      </c>
      <c r="D115" s="231">
        <f t="shared" si="32"/>
        <v>43850</v>
      </c>
      <c r="E115" s="229" t="s">
        <v>19</v>
      </c>
      <c r="F115" s="174">
        <v>9</v>
      </c>
      <c r="G115" s="217">
        <v>38</v>
      </c>
      <c r="H115" s="206">
        <f t="shared" si="25"/>
        <v>1696.78</v>
      </c>
      <c r="I115" s="218">
        <f t="shared" si="34"/>
        <v>1541.07</v>
      </c>
      <c r="J115" s="219">
        <f t="shared" si="36"/>
        <v>58560.659999999996</v>
      </c>
      <c r="K115" s="220">
        <f t="shared" si="30"/>
        <v>64477.64</v>
      </c>
      <c r="L115" s="221">
        <f t="shared" si="33"/>
        <v>-5916.9800000000032</v>
      </c>
      <c r="M115" s="210">
        <f t="shared" si="26"/>
        <v>-297.16737246115969</v>
      </c>
      <c r="N115" s="211">
        <f t="shared" si="27"/>
        <v>-6214.1473724611633</v>
      </c>
      <c r="O115" s="210">
        <v>0</v>
      </c>
      <c r="P115" s="210">
        <v>0</v>
      </c>
      <c r="Q115" s="210">
        <v>0</v>
      </c>
      <c r="R115" s="211">
        <f t="shared" si="28"/>
        <v>-6214.1473724611633</v>
      </c>
    </row>
    <row r="116" spans="1:18" x14ac:dyDescent="0.25">
      <c r="A116" s="125">
        <v>1</v>
      </c>
      <c r="B116" s="202">
        <f t="shared" si="35"/>
        <v>43466</v>
      </c>
      <c r="C116" s="226">
        <f t="shared" si="32"/>
        <v>43501</v>
      </c>
      <c r="D116" s="226">
        <f t="shared" si="32"/>
        <v>43516</v>
      </c>
      <c r="E116" s="204" t="s">
        <v>13</v>
      </c>
      <c r="F116" s="125">
        <v>9</v>
      </c>
      <c r="G116" s="205">
        <v>988</v>
      </c>
      <c r="H116" s="206">
        <f t="shared" si="25"/>
        <v>1696.78</v>
      </c>
      <c r="I116" s="206">
        <f t="shared" si="34"/>
        <v>1541.07</v>
      </c>
      <c r="J116" s="207">
        <f t="shared" si="36"/>
        <v>1522577.16</v>
      </c>
      <c r="K116" s="208">
        <f t="shared" si="30"/>
        <v>1676418.64</v>
      </c>
      <c r="L116" s="209">
        <f>+J116-K116</f>
        <v>-153841.47999999998</v>
      </c>
      <c r="M116" s="210">
        <f t="shared" si="26"/>
        <v>-7726.3516839901522</v>
      </c>
      <c r="N116" s="211">
        <f t="shared" si="27"/>
        <v>-161567.83168399014</v>
      </c>
      <c r="O116" s="210">
        <v>0</v>
      </c>
      <c r="P116" s="210">
        <v>0</v>
      </c>
      <c r="Q116" s="210">
        <v>0</v>
      </c>
      <c r="R116" s="211">
        <f t="shared" si="28"/>
        <v>-161567.83168399014</v>
      </c>
    </row>
    <row r="117" spans="1:18" x14ac:dyDescent="0.25">
      <c r="A117" s="163">
        <v>2</v>
      </c>
      <c r="B117" s="202">
        <f t="shared" si="35"/>
        <v>43497</v>
      </c>
      <c r="C117" s="226">
        <f t="shared" ref="C117:D139" si="37">+C105</f>
        <v>43529</v>
      </c>
      <c r="D117" s="226">
        <f t="shared" si="37"/>
        <v>43544</v>
      </c>
      <c r="E117" s="212" t="s">
        <v>13</v>
      </c>
      <c r="F117" s="163">
        <v>9</v>
      </c>
      <c r="G117" s="205">
        <v>951</v>
      </c>
      <c r="H117" s="206">
        <f t="shared" si="25"/>
        <v>1696.78</v>
      </c>
      <c r="I117" s="206">
        <f t="shared" si="34"/>
        <v>1541.07</v>
      </c>
      <c r="J117" s="207">
        <f t="shared" si="36"/>
        <v>1465557.5699999998</v>
      </c>
      <c r="K117" s="208">
        <f t="shared" si="30"/>
        <v>1613637.78</v>
      </c>
      <c r="L117" s="209">
        <f>+J117-K117</f>
        <v>-148080.2100000002</v>
      </c>
      <c r="M117" s="210">
        <f t="shared" si="26"/>
        <v>-7437.0045055411274</v>
      </c>
      <c r="N117" s="211">
        <f t="shared" si="27"/>
        <v>-155517.21450554131</v>
      </c>
      <c r="O117" s="210">
        <v>0</v>
      </c>
      <c r="P117" s="210">
        <v>0</v>
      </c>
      <c r="Q117" s="210">
        <v>0</v>
      </c>
      <c r="R117" s="211">
        <f t="shared" si="28"/>
        <v>-155517.21450554131</v>
      </c>
    </row>
    <row r="118" spans="1:18" x14ac:dyDescent="0.25">
      <c r="A118" s="163">
        <v>3</v>
      </c>
      <c r="B118" s="202">
        <f t="shared" si="35"/>
        <v>43525</v>
      </c>
      <c r="C118" s="226">
        <f t="shared" si="37"/>
        <v>43558</v>
      </c>
      <c r="D118" s="226">
        <f t="shared" si="37"/>
        <v>43573</v>
      </c>
      <c r="E118" s="212" t="s">
        <v>13</v>
      </c>
      <c r="F118" s="163">
        <v>9</v>
      </c>
      <c r="G118" s="205">
        <v>1055</v>
      </c>
      <c r="H118" s="206">
        <f t="shared" si="25"/>
        <v>1696.78</v>
      </c>
      <c r="I118" s="206">
        <f t="shared" si="34"/>
        <v>1541.07</v>
      </c>
      <c r="J118" s="207">
        <f t="shared" si="36"/>
        <v>1625828.8499999999</v>
      </c>
      <c r="K118" s="208">
        <f t="shared" si="30"/>
        <v>1790102.9</v>
      </c>
      <c r="L118" s="209">
        <f>+J118-K118</f>
        <v>-164274.05000000005</v>
      </c>
      <c r="M118" s="210">
        <f t="shared" si="26"/>
        <v>-8250.3046828032493</v>
      </c>
      <c r="N118" s="211">
        <f t="shared" si="27"/>
        <v>-172524.3546828033</v>
      </c>
      <c r="O118" s="210">
        <v>0</v>
      </c>
      <c r="P118" s="210">
        <v>0</v>
      </c>
      <c r="Q118" s="210">
        <v>0</v>
      </c>
      <c r="R118" s="211">
        <f t="shared" si="28"/>
        <v>-172524.3546828033</v>
      </c>
    </row>
    <row r="119" spans="1:18" x14ac:dyDescent="0.25">
      <c r="A119" s="125">
        <v>4</v>
      </c>
      <c r="B119" s="202">
        <f t="shared" si="35"/>
        <v>43556</v>
      </c>
      <c r="C119" s="226">
        <f t="shared" si="37"/>
        <v>43588</v>
      </c>
      <c r="D119" s="226">
        <f t="shared" si="37"/>
        <v>43605</v>
      </c>
      <c r="E119" s="54" t="s">
        <v>13</v>
      </c>
      <c r="F119" s="163">
        <v>9</v>
      </c>
      <c r="G119" s="205">
        <v>514</v>
      </c>
      <c r="H119" s="206">
        <f t="shared" si="25"/>
        <v>1696.78</v>
      </c>
      <c r="I119" s="206">
        <f t="shared" si="34"/>
        <v>1541.07</v>
      </c>
      <c r="J119" s="207">
        <f t="shared" si="36"/>
        <v>792109.98</v>
      </c>
      <c r="K119" s="208">
        <f t="shared" si="30"/>
        <v>872144.92</v>
      </c>
      <c r="L119" s="209">
        <f t="shared" ref="L119:L127" si="38">+J119-K119</f>
        <v>-80034.940000000061</v>
      </c>
      <c r="M119" s="210">
        <f t="shared" si="26"/>
        <v>-4019.5797222377919</v>
      </c>
      <c r="N119" s="211">
        <f t="shared" si="27"/>
        <v>-84054.519722237848</v>
      </c>
      <c r="O119" s="210">
        <v>0</v>
      </c>
      <c r="P119" s="210">
        <v>0</v>
      </c>
      <c r="Q119" s="210">
        <v>0</v>
      </c>
      <c r="R119" s="211">
        <f t="shared" si="28"/>
        <v>-84054.519722237848</v>
      </c>
    </row>
    <row r="120" spans="1:18" x14ac:dyDescent="0.25">
      <c r="A120" s="163">
        <v>5</v>
      </c>
      <c r="B120" s="202">
        <f t="shared" si="35"/>
        <v>43586</v>
      </c>
      <c r="C120" s="226">
        <f t="shared" si="37"/>
        <v>43621</v>
      </c>
      <c r="D120" s="226">
        <f t="shared" si="37"/>
        <v>43636</v>
      </c>
      <c r="E120" s="54" t="s">
        <v>13</v>
      </c>
      <c r="F120" s="163">
        <v>9</v>
      </c>
      <c r="G120" s="205">
        <v>701</v>
      </c>
      <c r="H120" s="206">
        <f t="shared" si="25"/>
        <v>1696.78</v>
      </c>
      <c r="I120" s="206">
        <f t="shared" si="34"/>
        <v>1541.07</v>
      </c>
      <c r="J120" s="207">
        <f t="shared" si="36"/>
        <v>1080290.07</v>
      </c>
      <c r="K120" s="208">
        <f t="shared" si="30"/>
        <v>1189442.78</v>
      </c>
      <c r="L120" s="209">
        <f t="shared" si="38"/>
        <v>-109152.70999999996</v>
      </c>
      <c r="M120" s="210">
        <f t="shared" si="26"/>
        <v>-5481.9560025071833</v>
      </c>
      <c r="N120" s="211">
        <f t="shared" si="27"/>
        <v>-114634.66600250715</v>
      </c>
      <c r="O120" s="210">
        <v>0</v>
      </c>
      <c r="P120" s="210">
        <v>0</v>
      </c>
      <c r="Q120" s="210">
        <v>0</v>
      </c>
      <c r="R120" s="211">
        <f t="shared" si="28"/>
        <v>-114634.66600250715</v>
      </c>
    </row>
    <row r="121" spans="1:18" x14ac:dyDescent="0.25">
      <c r="A121" s="163">
        <v>6</v>
      </c>
      <c r="B121" s="202">
        <f t="shared" si="35"/>
        <v>43617</v>
      </c>
      <c r="C121" s="226">
        <f t="shared" si="37"/>
        <v>43649</v>
      </c>
      <c r="D121" s="226">
        <f t="shared" si="37"/>
        <v>43664</v>
      </c>
      <c r="E121" s="54" t="s">
        <v>13</v>
      </c>
      <c r="F121" s="163">
        <v>9</v>
      </c>
      <c r="G121" s="205">
        <v>822</v>
      </c>
      <c r="H121" s="206">
        <f t="shared" si="25"/>
        <v>1696.78</v>
      </c>
      <c r="I121" s="206">
        <f t="shared" si="34"/>
        <v>1541.07</v>
      </c>
      <c r="J121" s="207">
        <f t="shared" si="36"/>
        <v>1266759.54</v>
      </c>
      <c r="K121" s="208">
        <f t="shared" si="30"/>
        <v>1394753.16</v>
      </c>
      <c r="L121" s="213">
        <f t="shared" si="38"/>
        <v>-127993.61999999988</v>
      </c>
      <c r="M121" s="210">
        <f t="shared" si="26"/>
        <v>-6428.1994779756124</v>
      </c>
      <c r="N121" s="211">
        <f t="shared" si="27"/>
        <v>-134421.81947797548</v>
      </c>
      <c r="O121" s="210">
        <v>0</v>
      </c>
      <c r="P121" s="210">
        <v>0</v>
      </c>
      <c r="Q121" s="210">
        <v>0</v>
      </c>
      <c r="R121" s="211">
        <f t="shared" si="28"/>
        <v>-134421.81947797548</v>
      </c>
    </row>
    <row r="122" spans="1:18" x14ac:dyDescent="0.25">
      <c r="A122" s="125">
        <v>7</v>
      </c>
      <c r="B122" s="202">
        <f t="shared" si="35"/>
        <v>43647</v>
      </c>
      <c r="C122" s="226">
        <f t="shared" si="37"/>
        <v>43682</v>
      </c>
      <c r="D122" s="226">
        <f t="shared" si="37"/>
        <v>43697</v>
      </c>
      <c r="E122" s="54" t="s">
        <v>13</v>
      </c>
      <c r="F122" s="163">
        <v>9</v>
      </c>
      <c r="G122" s="205">
        <v>868</v>
      </c>
      <c r="H122" s="206">
        <f t="shared" si="25"/>
        <v>1696.78</v>
      </c>
      <c r="I122" s="206">
        <f t="shared" si="34"/>
        <v>1541.07</v>
      </c>
      <c r="J122" s="207">
        <f t="shared" si="36"/>
        <v>1337648.76</v>
      </c>
      <c r="K122" s="214">
        <f t="shared" si="30"/>
        <v>1472805.04</v>
      </c>
      <c r="L122" s="213">
        <f t="shared" si="38"/>
        <v>-135156.28000000003</v>
      </c>
      <c r="M122" s="210">
        <f t="shared" si="26"/>
        <v>-6787.9284025338584</v>
      </c>
      <c r="N122" s="211">
        <f t="shared" si="27"/>
        <v>-141944.2084025339</v>
      </c>
      <c r="O122" s="210">
        <v>0</v>
      </c>
      <c r="P122" s="210">
        <v>0</v>
      </c>
      <c r="Q122" s="210">
        <v>0</v>
      </c>
      <c r="R122" s="211">
        <f t="shared" si="28"/>
        <v>-141944.2084025339</v>
      </c>
    </row>
    <row r="123" spans="1:18" x14ac:dyDescent="0.25">
      <c r="A123" s="163">
        <v>8</v>
      </c>
      <c r="B123" s="202">
        <f t="shared" si="35"/>
        <v>43678</v>
      </c>
      <c r="C123" s="226">
        <f t="shared" si="37"/>
        <v>43712</v>
      </c>
      <c r="D123" s="226">
        <f t="shared" si="37"/>
        <v>43727</v>
      </c>
      <c r="E123" s="54" t="s">
        <v>13</v>
      </c>
      <c r="F123" s="163">
        <v>9</v>
      </c>
      <c r="G123" s="205">
        <v>933</v>
      </c>
      <c r="H123" s="206">
        <f t="shared" si="25"/>
        <v>1696.78</v>
      </c>
      <c r="I123" s="206">
        <f t="shared" si="34"/>
        <v>1541.07</v>
      </c>
      <c r="J123" s="207">
        <f t="shared" si="36"/>
        <v>1437818.31</v>
      </c>
      <c r="K123" s="214">
        <f t="shared" si="30"/>
        <v>1583095.74</v>
      </c>
      <c r="L123" s="213">
        <f t="shared" si="38"/>
        <v>-145277.42999999993</v>
      </c>
      <c r="M123" s="210">
        <f t="shared" si="26"/>
        <v>-7296.2410133226831</v>
      </c>
      <c r="N123" s="211">
        <f t="shared" si="27"/>
        <v>-152573.67101332263</v>
      </c>
      <c r="O123" s="210">
        <v>0</v>
      </c>
      <c r="P123" s="210">
        <v>0</v>
      </c>
      <c r="Q123" s="210">
        <v>0</v>
      </c>
      <c r="R123" s="211">
        <f t="shared" si="28"/>
        <v>-152573.67101332263</v>
      </c>
    </row>
    <row r="124" spans="1:18" x14ac:dyDescent="0.25">
      <c r="A124" s="163">
        <v>9</v>
      </c>
      <c r="B124" s="202">
        <f t="shared" si="35"/>
        <v>43709</v>
      </c>
      <c r="C124" s="226">
        <f t="shared" si="37"/>
        <v>43741</v>
      </c>
      <c r="D124" s="226">
        <f t="shared" si="37"/>
        <v>43756</v>
      </c>
      <c r="E124" s="54" t="s">
        <v>13</v>
      </c>
      <c r="F124" s="163">
        <v>9</v>
      </c>
      <c r="G124" s="205">
        <v>890</v>
      </c>
      <c r="H124" s="206">
        <f t="shared" si="25"/>
        <v>1696.78</v>
      </c>
      <c r="I124" s="206">
        <f t="shared" si="34"/>
        <v>1541.07</v>
      </c>
      <c r="J124" s="207">
        <f t="shared" si="36"/>
        <v>1371552.3</v>
      </c>
      <c r="K124" s="214">
        <f t="shared" si="30"/>
        <v>1510134.2</v>
      </c>
      <c r="L124" s="213">
        <f t="shared" si="38"/>
        <v>-138581.89999999991</v>
      </c>
      <c r="M124" s="210">
        <f t="shared" si="26"/>
        <v>-6959.9726708008448</v>
      </c>
      <c r="N124" s="211">
        <f t="shared" si="27"/>
        <v>-145541.87267080075</v>
      </c>
      <c r="O124" s="210">
        <v>0</v>
      </c>
      <c r="P124" s="210">
        <v>0</v>
      </c>
      <c r="Q124" s="210">
        <v>0</v>
      </c>
      <c r="R124" s="211">
        <f t="shared" si="28"/>
        <v>-145541.87267080075</v>
      </c>
    </row>
    <row r="125" spans="1:18" x14ac:dyDescent="0.25">
      <c r="A125" s="125">
        <v>10</v>
      </c>
      <c r="B125" s="202">
        <f t="shared" si="35"/>
        <v>43739</v>
      </c>
      <c r="C125" s="226">
        <f t="shared" si="37"/>
        <v>43774</v>
      </c>
      <c r="D125" s="226">
        <f t="shared" si="37"/>
        <v>43789</v>
      </c>
      <c r="E125" s="54" t="s">
        <v>13</v>
      </c>
      <c r="F125" s="163">
        <v>9</v>
      </c>
      <c r="G125" s="205">
        <v>798</v>
      </c>
      <c r="H125" s="206">
        <f t="shared" si="25"/>
        <v>1696.78</v>
      </c>
      <c r="I125" s="206">
        <f t="shared" si="34"/>
        <v>1541.07</v>
      </c>
      <c r="J125" s="207">
        <f t="shared" si="36"/>
        <v>1229773.8599999999</v>
      </c>
      <c r="K125" s="214">
        <f t="shared" si="30"/>
        <v>1354030.44</v>
      </c>
      <c r="L125" s="213">
        <f t="shared" si="38"/>
        <v>-124256.58000000007</v>
      </c>
      <c r="M125" s="210">
        <f t="shared" si="26"/>
        <v>-6240.5148216843536</v>
      </c>
      <c r="N125" s="211">
        <f t="shared" si="27"/>
        <v>-130497.09482168443</v>
      </c>
      <c r="O125" s="210">
        <v>0</v>
      </c>
      <c r="P125" s="210">
        <v>0</v>
      </c>
      <c r="Q125" s="210">
        <v>0</v>
      </c>
      <c r="R125" s="211">
        <f t="shared" si="28"/>
        <v>-130497.09482168443</v>
      </c>
    </row>
    <row r="126" spans="1:18" x14ac:dyDescent="0.25">
      <c r="A126" s="163">
        <v>11</v>
      </c>
      <c r="B126" s="202">
        <f t="shared" si="35"/>
        <v>43770</v>
      </c>
      <c r="C126" s="226">
        <f t="shared" si="37"/>
        <v>43803</v>
      </c>
      <c r="D126" s="226">
        <f t="shared" si="37"/>
        <v>43818</v>
      </c>
      <c r="E126" s="54" t="s">
        <v>13</v>
      </c>
      <c r="F126" s="163">
        <v>9</v>
      </c>
      <c r="G126" s="205">
        <v>1050</v>
      </c>
      <c r="H126" s="206">
        <f t="shared" si="25"/>
        <v>1696.78</v>
      </c>
      <c r="I126" s="206">
        <f t="shared" si="34"/>
        <v>1541.07</v>
      </c>
      <c r="J126" s="207">
        <f t="shared" si="36"/>
        <v>1618123.5</v>
      </c>
      <c r="K126" s="214">
        <f t="shared" si="30"/>
        <v>1781619</v>
      </c>
      <c r="L126" s="213">
        <f t="shared" si="38"/>
        <v>-163495.5</v>
      </c>
      <c r="M126" s="210">
        <f t="shared" si="26"/>
        <v>-8211.2037127425701</v>
      </c>
      <c r="N126" s="211">
        <f t="shared" si="27"/>
        <v>-171706.70371274257</v>
      </c>
      <c r="O126" s="210">
        <v>0</v>
      </c>
      <c r="P126" s="210">
        <v>0</v>
      </c>
      <c r="Q126" s="210">
        <v>0</v>
      </c>
      <c r="R126" s="211">
        <f t="shared" si="28"/>
        <v>-171706.70371274257</v>
      </c>
    </row>
    <row r="127" spans="1:18" s="230" customFormat="1" x14ac:dyDescent="0.25">
      <c r="A127" s="163">
        <v>12</v>
      </c>
      <c r="B127" s="228">
        <f t="shared" si="35"/>
        <v>43800</v>
      </c>
      <c r="C127" s="231">
        <f t="shared" si="37"/>
        <v>43833</v>
      </c>
      <c r="D127" s="231">
        <f t="shared" si="37"/>
        <v>43850</v>
      </c>
      <c r="E127" s="229" t="s">
        <v>13</v>
      </c>
      <c r="F127" s="174">
        <v>9</v>
      </c>
      <c r="G127" s="217">
        <v>996</v>
      </c>
      <c r="H127" s="206">
        <f t="shared" si="25"/>
        <v>1696.78</v>
      </c>
      <c r="I127" s="218">
        <f t="shared" si="34"/>
        <v>1541.07</v>
      </c>
      <c r="J127" s="219">
        <f t="shared" si="36"/>
        <v>1534905.72</v>
      </c>
      <c r="K127" s="220">
        <f t="shared" si="30"/>
        <v>1689992.88</v>
      </c>
      <c r="L127" s="221">
        <f t="shared" si="38"/>
        <v>-155087.15999999992</v>
      </c>
      <c r="M127" s="210">
        <f t="shared" si="26"/>
        <v>-7788.9132360872372</v>
      </c>
      <c r="N127" s="211">
        <f t="shared" si="27"/>
        <v>-162876.07323608716</v>
      </c>
      <c r="O127" s="210">
        <v>0</v>
      </c>
      <c r="P127" s="210">
        <v>0</v>
      </c>
      <c r="Q127" s="210">
        <v>0</v>
      </c>
      <c r="R127" s="211">
        <f t="shared" si="28"/>
        <v>-162876.07323608716</v>
      </c>
    </row>
    <row r="128" spans="1:18" x14ac:dyDescent="0.25">
      <c r="A128" s="125">
        <v>1</v>
      </c>
      <c r="B128" s="202">
        <f t="shared" si="35"/>
        <v>43466</v>
      </c>
      <c r="C128" s="226">
        <f t="shared" si="37"/>
        <v>43501</v>
      </c>
      <c r="D128" s="226">
        <f t="shared" si="37"/>
        <v>43516</v>
      </c>
      <c r="E128" s="204" t="s">
        <v>15</v>
      </c>
      <c r="F128" s="125">
        <v>9</v>
      </c>
      <c r="G128" s="205">
        <v>7</v>
      </c>
      <c r="H128" s="206">
        <f t="shared" si="25"/>
        <v>1696.78</v>
      </c>
      <c r="I128" s="206">
        <f t="shared" ref="I128:I147" si="39">$J$3</f>
        <v>1541.07</v>
      </c>
      <c r="J128" s="207">
        <f t="shared" si="36"/>
        <v>10787.49</v>
      </c>
      <c r="K128" s="208">
        <f t="shared" si="30"/>
        <v>11877.46</v>
      </c>
      <c r="L128" s="209">
        <f>+J128-K128</f>
        <v>-1089.9699999999993</v>
      </c>
      <c r="M128" s="210">
        <f t="shared" si="26"/>
        <v>-54.741358084950477</v>
      </c>
      <c r="N128" s="211">
        <f t="shared" si="27"/>
        <v>-1144.7113580849498</v>
      </c>
      <c r="O128" s="210">
        <v>0</v>
      </c>
      <c r="P128" s="210">
        <v>0</v>
      </c>
      <c r="Q128" s="210">
        <v>0</v>
      </c>
      <c r="R128" s="211">
        <f t="shared" si="28"/>
        <v>-1144.7113580849498</v>
      </c>
    </row>
    <row r="129" spans="1:18" x14ac:dyDescent="0.25">
      <c r="A129" s="163">
        <v>2</v>
      </c>
      <c r="B129" s="202">
        <f t="shared" si="35"/>
        <v>43497</v>
      </c>
      <c r="C129" s="226">
        <f t="shared" si="37"/>
        <v>43529</v>
      </c>
      <c r="D129" s="226">
        <f t="shared" si="37"/>
        <v>43544</v>
      </c>
      <c r="E129" s="212" t="s">
        <v>15</v>
      </c>
      <c r="F129" s="163">
        <v>9</v>
      </c>
      <c r="G129" s="205">
        <v>8</v>
      </c>
      <c r="H129" s="206">
        <f t="shared" si="25"/>
        <v>1696.78</v>
      </c>
      <c r="I129" s="206">
        <f t="shared" si="39"/>
        <v>1541.07</v>
      </c>
      <c r="J129" s="207">
        <f t="shared" si="36"/>
        <v>12328.56</v>
      </c>
      <c r="K129" s="208">
        <f t="shared" si="30"/>
        <v>13574.24</v>
      </c>
      <c r="L129" s="209">
        <f>+J129-K129</f>
        <v>-1245.6800000000003</v>
      </c>
      <c r="M129" s="210">
        <f t="shared" si="26"/>
        <v>-62.561552097086249</v>
      </c>
      <c r="N129" s="211">
        <f t="shared" si="27"/>
        <v>-1308.2415520970865</v>
      </c>
      <c r="O129" s="210">
        <v>0</v>
      </c>
      <c r="P129" s="210">
        <v>0</v>
      </c>
      <c r="Q129" s="210">
        <v>0</v>
      </c>
      <c r="R129" s="211">
        <f t="shared" si="28"/>
        <v>-1308.2415520970865</v>
      </c>
    </row>
    <row r="130" spans="1:18" x14ac:dyDescent="0.25">
      <c r="A130" s="163">
        <v>3</v>
      </c>
      <c r="B130" s="202">
        <f t="shared" si="35"/>
        <v>43525</v>
      </c>
      <c r="C130" s="226">
        <f t="shared" si="37"/>
        <v>43558</v>
      </c>
      <c r="D130" s="226">
        <f t="shared" si="37"/>
        <v>43573</v>
      </c>
      <c r="E130" s="212" t="s">
        <v>15</v>
      </c>
      <c r="F130" s="163">
        <v>9</v>
      </c>
      <c r="G130" s="205">
        <v>6</v>
      </c>
      <c r="H130" s="206">
        <f t="shared" si="25"/>
        <v>1696.78</v>
      </c>
      <c r="I130" s="206">
        <f t="shared" si="39"/>
        <v>1541.07</v>
      </c>
      <c r="J130" s="207">
        <f t="shared" si="36"/>
        <v>9246.42</v>
      </c>
      <c r="K130" s="208">
        <f t="shared" si="30"/>
        <v>10180.68</v>
      </c>
      <c r="L130" s="209">
        <f>+J130-K130</f>
        <v>-934.26000000000022</v>
      </c>
      <c r="M130" s="210">
        <f t="shared" si="26"/>
        <v>-46.92116407281469</v>
      </c>
      <c r="N130" s="211">
        <f t="shared" si="27"/>
        <v>-981.18116407281491</v>
      </c>
      <c r="O130" s="210">
        <v>0</v>
      </c>
      <c r="P130" s="210">
        <v>0</v>
      </c>
      <c r="Q130" s="210">
        <v>0</v>
      </c>
      <c r="R130" s="211">
        <f t="shared" si="28"/>
        <v>-981.18116407281491</v>
      </c>
    </row>
    <row r="131" spans="1:18" x14ac:dyDescent="0.25">
      <c r="A131" s="125">
        <v>4</v>
      </c>
      <c r="B131" s="202">
        <f t="shared" si="35"/>
        <v>43556</v>
      </c>
      <c r="C131" s="226">
        <f t="shared" si="37"/>
        <v>43588</v>
      </c>
      <c r="D131" s="226">
        <f t="shared" si="37"/>
        <v>43605</v>
      </c>
      <c r="E131" s="212" t="s">
        <v>15</v>
      </c>
      <c r="F131" s="163">
        <v>9</v>
      </c>
      <c r="G131" s="205">
        <v>5</v>
      </c>
      <c r="H131" s="206">
        <f t="shared" si="25"/>
        <v>1696.78</v>
      </c>
      <c r="I131" s="206">
        <f t="shared" si="39"/>
        <v>1541.07</v>
      </c>
      <c r="J131" s="207">
        <f t="shared" si="36"/>
        <v>7705.3499999999995</v>
      </c>
      <c r="K131" s="208">
        <f t="shared" si="30"/>
        <v>8483.9</v>
      </c>
      <c r="L131" s="209">
        <f t="shared" ref="L131:L141" si="40">+J131-K131</f>
        <v>-778.55000000000018</v>
      </c>
      <c r="M131" s="210">
        <f t="shared" si="26"/>
        <v>-39.100970060678904</v>
      </c>
      <c r="N131" s="211">
        <f t="shared" si="27"/>
        <v>-817.65097006067913</v>
      </c>
      <c r="O131" s="210">
        <v>0</v>
      </c>
      <c r="P131" s="210">
        <v>0</v>
      </c>
      <c r="Q131" s="210">
        <v>0</v>
      </c>
      <c r="R131" s="211">
        <f t="shared" si="28"/>
        <v>-817.65097006067913</v>
      </c>
    </row>
    <row r="132" spans="1:18" x14ac:dyDescent="0.25">
      <c r="A132" s="163">
        <v>5</v>
      </c>
      <c r="B132" s="202">
        <f t="shared" si="35"/>
        <v>43586</v>
      </c>
      <c r="C132" s="226">
        <f t="shared" si="37"/>
        <v>43621</v>
      </c>
      <c r="D132" s="226">
        <f t="shared" si="37"/>
        <v>43636</v>
      </c>
      <c r="E132" s="54" t="s">
        <v>15</v>
      </c>
      <c r="F132" s="163">
        <v>9</v>
      </c>
      <c r="G132" s="205">
        <v>4</v>
      </c>
      <c r="H132" s="206">
        <f t="shared" si="25"/>
        <v>1696.78</v>
      </c>
      <c r="I132" s="206">
        <f t="shared" si="39"/>
        <v>1541.07</v>
      </c>
      <c r="J132" s="207">
        <f t="shared" si="36"/>
        <v>6164.28</v>
      </c>
      <c r="K132" s="208">
        <f t="shared" si="30"/>
        <v>6787.12</v>
      </c>
      <c r="L132" s="209">
        <f t="shared" si="40"/>
        <v>-622.84000000000015</v>
      </c>
      <c r="M132" s="210">
        <f t="shared" si="26"/>
        <v>-31.280776048543125</v>
      </c>
      <c r="N132" s="211">
        <f t="shared" si="27"/>
        <v>-654.12077604854323</v>
      </c>
      <c r="O132" s="210">
        <v>0</v>
      </c>
      <c r="P132" s="210">
        <v>0</v>
      </c>
      <c r="Q132" s="210">
        <v>0</v>
      </c>
      <c r="R132" s="211">
        <f t="shared" si="28"/>
        <v>-654.12077604854323</v>
      </c>
    </row>
    <row r="133" spans="1:18" x14ac:dyDescent="0.25">
      <c r="A133" s="163">
        <v>6</v>
      </c>
      <c r="B133" s="202">
        <f t="shared" si="35"/>
        <v>43617</v>
      </c>
      <c r="C133" s="226">
        <f t="shared" si="37"/>
        <v>43649</v>
      </c>
      <c r="D133" s="226">
        <f t="shared" si="37"/>
        <v>43664</v>
      </c>
      <c r="E133" s="54" t="s">
        <v>15</v>
      </c>
      <c r="F133" s="163">
        <v>9</v>
      </c>
      <c r="G133" s="205">
        <v>7</v>
      </c>
      <c r="H133" s="206">
        <f t="shared" si="25"/>
        <v>1696.78</v>
      </c>
      <c r="I133" s="206">
        <f t="shared" si="39"/>
        <v>1541.07</v>
      </c>
      <c r="J133" s="207">
        <f t="shared" si="36"/>
        <v>10787.49</v>
      </c>
      <c r="K133" s="208">
        <f t="shared" si="30"/>
        <v>11877.46</v>
      </c>
      <c r="L133" s="213">
        <f t="shared" si="40"/>
        <v>-1089.9699999999993</v>
      </c>
      <c r="M133" s="210">
        <f t="shared" si="26"/>
        <v>-54.741358084950477</v>
      </c>
      <c r="N133" s="211">
        <f t="shared" si="27"/>
        <v>-1144.7113580849498</v>
      </c>
      <c r="O133" s="210">
        <v>0</v>
      </c>
      <c r="P133" s="210">
        <v>0</v>
      </c>
      <c r="Q133" s="210">
        <v>0</v>
      </c>
      <c r="R133" s="211">
        <f t="shared" si="28"/>
        <v>-1144.7113580849498</v>
      </c>
    </row>
    <row r="134" spans="1:18" x14ac:dyDescent="0.25">
      <c r="A134" s="125">
        <v>7</v>
      </c>
      <c r="B134" s="202">
        <f t="shared" si="35"/>
        <v>43647</v>
      </c>
      <c r="C134" s="226">
        <f t="shared" si="37"/>
        <v>43682</v>
      </c>
      <c r="D134" s="226">
        <f t="shared" si="37"/>
        <v>43697</v>
      </c>
      <c r="E134" s="54" t="s">
        <v>15</v>
      </c>
      <c r="F134" s="163">
        <v>9</v>
      </c>
      <c r="G134" s="205">
        <v>17</v>
      </c>
      <c r="H134" s="206">
        <f t="shared" si="25"/>
        <v>1696.78</v>
      </c>
      <c r="I134" s="206">
        <f t="shared" si="39"/>
        <v>1541.07</v>
      </c>
      <c r="J134" s="207">
        <f t="shared" si="36"/>
        <v>26198.19</v>
      </c>
      <c r="K134" s="214">
        <f t="shared" ref="K134:K197" si="41">+$G134*H134</f>
        <v>28845.26</v>
      </c>
      <c r="L134" s="213">
        <f t="shared" si="40"/>
        <v>-2647.0699999999997</v>
      </c>
      <c r="M134" s="210">
        <f t="shared" si="26"/>
        <v>-132.9432982063083</v>
      </c>
      <c r="N134" s="211">
        <f t="shared" si="27"/>
        <v>-2780.0132982063078</v>
      </c>
      <c r="O134" s="210">
        <v>0</v>
      </c>
      <c r="P134" s="210">
        <v>0</v>
      </c>
      <c r="Q134" s="210">
        <v>0</v>
      </c>
      <c r="R134" s="211">
        <f t="shared" si="28"/>
        <v>-2780.0132982063078</v>
      </c>
    </row>
    <row r="135" spans="1:18" x14ac:dyDescent="0.25">
      <c r="A135" s="163">
        <v>8</v>
      </c>
      <c r="B135" s="202">
        <f t="shared" si="35"/>
        <v>43678</v>
      </c>
      <c r="C135" s="226">
        <f t="shared" si="37"/>
        <v>43712</v>
      </c>
      <c r="D135" s="226">
        <f t="shared" si="37"/>
        <v>43727</v>
      </c>
      <c r="E135" s="54" t="s">
        <v>15</v>
      </c>
      <c r="F135" s="163">
        <v>9</v>
      </c>
      <c r="G135" s="205">
        <v>17</v>
      </c>
      <c r="H135" s="206">
        <f t="shared" si="25"/>
        <v>1696.78</v>
      </c>
      <c r="I135" s="206">
        <f t="shared" si="39"/>
        <v>1541.07</v>
      </c>
      <c r="J135" s="207">
        <f t="shared" si="36"/>
        <v>26198.19</v>
      </c>
      <c r="K135" s="214">
        <f t="shared" si="41"/>
        <v>28845.26</v>
      </c>
      <c r="L135" s="213">
        <f t="shared" si="40"/>
        <v>-2647.0699999999997</v>
      </c>
      <c r="M135" s="210">
        <f t="shared" si="26"/>
        <v>-132.9432982063083</v>
      </c>
      <c r="N135" s="211">
        <f t="shared" si="27"/>
        <v>-2780.0132982063078</v>
      </c>
      <c r="O135" s="210">
        <v>0</v>
      </c>
      <c r="P135" s="210">
        <v>0</v>
      </c>
      <c r="Q135" s="210">
        <v>0</v>
      </c>
      <c r="R135" s="211">
        <f t="shared" si="28"/>
        <v>-2780.0132982063078</v>
      </c>
    </row>
    <row r="136" spans="1:18" x14ac:dyDescent="0.25">
      <c r="A136" s="163">
        <v>9</v>
      </c>
      <c r="B136" s="202">
        <f t="shared" si="35"/>
        <v>43709</v>
      </c>
      <c r="C136" s="226">
        <f t="shared" si="37"/>
        <v>43741</v>
      </c>
      <c r="D136" s="226">
        <f t="shared" si="37"/>
        <v>43756</v>
      </c>
      <c r="E136" s="54" t="s">
        <v>15</v>
      </c>
      <c r="F136" s="163">
        <v>9</v>
      </c>
      <c r="G136" s="205">
        <v>13</v>
      </c>
      <c r="H136" s="206">
        <f t="shared" si="25"/>
        <v>1696.78</v>
      </c>
      <c r="I136" s="206">
        <f t="shared" si="39"/>
        <v>1541.07</v>
      </c>
      <c r="J136" s="207">
        <f t="shared" si="36"/>
        <v>20033.91</v>
      </c>
      <c r="K136" s="214">
        <f t="shared" si="41"/>
        <v>22058.14</v>
      </c>
      <c r="L136" s="213">
        <f t="shared" si="40"/>
        <v>-2024.2299999999996</v>
      </c>
      <c r="M136" s="210">
        <f t="shared" si="26"/>
        <v>-101.66252215776515</v>
      </c>
      <c r="N136" s="211">
        <f t="shared" si="27"/>
        <v>-2125.8925221577647</v>
      </c>
      <c r="O136" s="210">
        <v>0</v>
      </c>
      <c r="P136" s="210">
        <v>0</v>
      </c>
      <c r="Q136" s="210">
        <v>0</v>
      </c>
      <c r="R136" s="211">
        <f t="shared" si="28"/>
        <v>-2125.8925221577647</v>
      </c>
    </row>
    <row r="137" spans="1:18" x14ac:dyDescent="0.25">
      <c r="A137" s="125">
        <v>10</v>
      </c>
      <c r="B137" s="202">
        <f t="shared" si="35"/>
        <v>43739</v>
      </c>
      <c r="C137" s="226">
        <f t="shared" si="37"/>
        <v>43774</v>
      </c>
      <c r="D137" s="226">
        <f t="shared" si="37"/>
        <v>43789</v>
      </c>
      <c r="E137" s="54" t="s">
        <v>15</v>
      </c>
      <c r="F137" s="163">
        <v>9</v>
      </c>
      <c r="G137" s="205">
        <v>5</v>
      </c>
      <c r="H137" s="206">
        <f t="shared" si="25"/>
        <v>1696.78</v>
      </c>
      <c r="I137" s="206">
        <f t="shared" si="39"/>
        <v>1541.07</v>
      </c>
      <c r="J137" s="207">
        <f t="shared" si="36"/>
        <v>7705.3499999999995</v>
      </c>
      <c r="K137" s="214">
        <f t="shared" si="41"/>
        <v>8483.9</v>
      </c>
      <c r="L137" s="213">
        <f t="shared" si="40"/>
        <v>-778.55000000000018</v>
      </c>
      <c r="M137" s="210">
        <f t="shared" si="26"/>
        <v>-39.100970060678904</v>
      </c>
      <c r="N137" s="211">
        <f t="shared" si="27"/>
        <v>-817.65097006067913</v>
      </c>
      <c r="O137" s="210">
        <v>0</v>
      </c>
      <c r="P137" s="210">
        <v>0</v>
      </c>
      <c r="Q137" s="210">
        <v>0</v>
      </c>
      <c r="R137" s="211">
        <f t="shared" si="28"/>
        <v>-817.65097006067913</v>
      </c>
    </row>
    <row r="138" spans="1:18" x14ac:dyDescent="0.25">
      <c r="A138" s="163">
        <v>11</v>
      </c>
      <c r="B138" s="202">
        <f t="shared" si="35"/>
        <v>43770</v>
      </c>
      <c r="C138" s="226">
        <f t="shared" si="37"/>
        <v>43803</v>
      </c>
      <c r="D138" s="226">
        <f t="shared" si="37"/>
        <v>43818</v>
      </c>
      <c r="E138" s="54" t="s">
        <v>15</v>
      </c>
      <c r="F138" s="163">
        <v>9</v>
      </c>
      <c r="G138" s="205">
        <v>7</v>
      </c>
      <c r="H138" s="206">
        <f t="shared" si="25"/>
        <v>1696.78</v>
      </c>
      <c r="I138" s="206">
        <f t="shared" si="39"/>
        <v>1541.07</v>
      </c>
      <c r="J138" s="207">
        <f t="shared" si="36"/>
        <v>10787.49</v>
      </c>
      <c r="K138" s="214">
        <f t="shared" si="41"/>
        <v>11877.46</v>
      </c>
      <c r="L138" s="213">
        <f t="shared" si="40"/>
        <v>-1089.9699999999993</v>
      </c>
      <c r="M138" s="210">
        <f t="shared" si="26"/>
        <v>-54.741358084950477</v>
      </c>
      <c r="N138" s="211">
        <f t="shared" si="27"/>
        <v>-1144.7113580849498</v>
      </c>
      <c r="O138" s="210">
        <v>0</v>
      </c>
      <c r="P138" s="210">
        <v>0</v>
      </c>
      <c r="Q138" s="210">
        <v>0</v>
      </c>
      <c r="R138" s="211">
        <f t="shared" si="28"/>
        <v>-1144.7113580849498</v>
      </c>
    </row>
    <row r="139" spans="1:18" s="230" customFormat="1" x14ac:dyDescent="0.25">
      <c r="A139" s="163">
        <v>12</v>
      </c>
      <c r="B139" s="228">
        <f t="shared" si="35"/>
        <v>43800</v>
      </c>
      <c r="C139" s="226">
        <f t="shared" si="37"/>
        <v>43833</v>
      </c>
      <c r="D139" s="226">
        <f t="shared" si="37"/>
        <v>43850</v>
      </c>
      <c r="E139" s="229" t="s">
        <v>15</v>
      </c>
      <c r="F139" s="174">
        <v>9</v>
      </c>
      <c r="G139" s="217">
        <v>7</v>
      </c>
      <c r="H139" s="206">
        <f t="shared" si="25"/>
        <v>1696.78</v>
      </c>
      <c r="I139" s="218">
        <f t="shared" si="39"/>
        <v>1541.07</v>
      </c>
      <c r="J139" s="219">
        <f t="shared" si="36"/>
        <v>10787.49</v>
      </c>
      <c r="K139" s="220">
        <f t="shared" si="41"/>
        <v>11877.46</v>
      </c>
      <c r="L139" s="221">
        <f t="shared" si="40"/>
        <v>-1089.9699999999993</v>
      </c>
      <c r="M139" s="210">
        <f t="shared" si="26"/>
        <v>-54.741358084950477</v>
      </c>
      <c r="N139" s="211">
        <f t="shared" si="27"/>
        <v>-1144.7113580849498</v>
      </c>
      <c r="O139" s="210">
        <v>0</v>
      </c>
      <c r="P139" s="210">
        <v>0</v>
      </c>
      <c r="Q139" s="210">
        <v>0</v>
      </c>
      <c r="R139" s="211">
        <f t="shared" si="28"/>
        <v>-1144.7113580849498</v>
      </c>
    </row>
    <row r="140" spans="1:18" x14ac:dyDescent="0.25">
      <c r="A140" s="125">
        <v>1</v>
      </c>
      <c r="B140" s="202">
        <f t="shared" si="35"/>
        <v>43466</v>
      </c>
      <c r="C140" s="223">
        <f t="shared" ref="C140:D151" si="42">+C128</f>
        <v>43501</v>
      </c>
      <c r="D140" s="223">
        <f t="shared" si="42"/>
        <v>43516</v>
      </c>
      <c r="E140" s="233" t="s">
        <v>16</v>
      </c>
      <c r="F140" s="163">
        <v>9</v>
      </c>
      <c r="G140" s="205">
        <v>1</v>
      </c>
      <c r="H140" s="206">
        <f t="shared" si="25"/>
        <v>1696.78</v>
      </c>
      <c r="I140" s="206">
        <f t="shared" si="39"/>
        <v>1541.07</v>
      </c>
      <c r="J140" s="207">
        <f t="shared" si="36"/>
        <v>1541.07</v>
      </c>
      <c r="K140" s="208">
        <f t="shared" si="41"/>
        <v>1696.78</v>
      </c>
      <c r="L140" s="209">
        <f t="shared" si="40"/>
        <v>-155.71000000000004</v>
      </c>
      <c r="M140" s="210">
        <f t="shared" si="26"/>
        <v>-7.8201940121357811</v>
      </c>
      <c r="N140" s="211">
        <f t="shared" si="27"/>
        <v>-163.53019401213581</v>
      </c>
      <c r="O140" s="210">
        <v>0</v>
      </c>
      <c r="P140" s="210">
        <v>0</v>
      </c>
      <c r="Q140" s="210">
        <v>0</v>
      </c>
      <c r="R140" s="211">
        <f t="shared" si="28"/>
        <v>-163.53019401213581</v>
      </c>
    </row>
    <row r="141" spans="1:18" x14ac:dyDescent="0.25">
      <c r="A141" s="163">
        <v>2</v>
      </c>
      <c r="B141" s="202">
        <f t="shared" si="35"/>
        <v>43497</v>
      </c>
      <c r="C141" s="226">
        <f t="shared" si="42"/>
        <v>43529</v>
      </c>
      <c r="D141" s="226">
        <f t="shared" si="42"/>
        <v>43544</v>
      </c>
      <c r="E141" s="54" t="s">
        <v>16</v>
      </c>
      <c r="F141" s="163">
        <v>9</v>
      </c>
      <c r="G141" s="205">
        <v>4</v>
      </c>
      <c r="H141" s="206">
        <f t="shared" si="25"/>
        <v>1696.78</v>
      </c>
      <c r="I141" s="206">
        <f t="shared" si="39"/>
        <v>1541.07</v>
      </c>
      <c r="J141" s="207">
        <f t="shared" si="36"/>
        <v>6164.28</v>
      </c>
      <c r="K141" s="208">
        <f t="shared" si="41"/>
        <v>6787.12</v>
      </c>
      <c r="L141" s="209">
        <f t="shared" si="40"/>
        <v>-622.84000000000015</v>
      </c>
      <c r="M141" s="210">
        <f t="shared" si="26"/>
        <v>-31.280776048543125</v>
      </c>
      <c r="N141" s="211">
        <f t="shared" si="27"/>
        <v>-654.12077604854323</v>
      </c>
      <c r="O141" s="210">
        <v>0</v>
      </c>
      <c r="P141" s="210">
        <v>0</v>
      </c>
      <c r="Q141" s="210">
        <v>0</v>
      </c>
      <c r="R141" s="211">
        <f t="shared" si="28"/>
        <v>-654.12077604854323</v>
      </c>
    </row>
    <row r="142" spans="1:18" x14ac:dyDescent="0.25">
      <c r="A142" s="163">
        <v>3</v>
      </c>
      <c r="B142" s="202">
        <f t="shared" si="35"/>
        <v>43525</v>
      </c>
      <c r="C142" s="226">
        <f t="shared" si="42"/>
        <v>43558</v>
      </c>
      <c r="D142" s="226">
        <f t="shared" si="42"/>
        <v>43573</v>
      </c>
      <c r="E142" s="54" t="s">
        <v>16</v>
      </c>
      <c r="F142" s="163">
        <v>9</v>
      </c>
      <c r="G142" s="205">
        <v>1</v>
      </c>
      <c r="H142" s="206">
        <f t="shared" si="25"/>
        <v>1696.78</v>
      </c>
      <c r="I142" s="206">
        <f t="shared" si="39"/>
        <v>1541.07</v>
      </c>
      <c r="J142" s="207">
        <f t="shared" si="36"/>
        <v>1541.07</v>
      </c>
      <c r="K142" s="208">
        <f t="shared" si="41"/>
        <v>1696.78</v>
      </c>
      <c r="L142" s="209">
        <f>+J142-K142</f>
        <v>-155.71000000000004</v>
      </c>
      <c r="M142" s="210">
        <f t="shared" si="26"/>
        <v>-7.8201940121357811</v>
      </c>
      <c r="N142" s="211">
        <f t="shared" si="27"/>
        <v>-163.53019401213581</v>
      </c>
      <c r="O142" s="210">
        <v>0</v>
      </c>
      <c r="P142" s="210">
        <v>0</v>
      </c>
      <c r="Q142" s="210">
        <v>0</v>
      </c>
      <c r="R142" s="211">
        <f t="shared" si="28"/>
        <v>-163.53019401213581</v>
      </c>
    </row>
    <row r="143" spans="1:18" x14ac:dyDescent="0.25">
      <c r="A143" s="125">
        <v>4</v>
      </c>
      <c r="B143" s="202">
        <f t="shared" si="35"/>
        <v>43556</v>
      </c>
      <c r="C143" s="226">
        <f t="shared" si="42"/>
        <v>43588</v>
      </c>
      <c r="D143" s="226">
        <f t="shared" si="42"/>
        <v>43605</v>
      </c>
      <c r="E143" s="54" t="s">
        <v>16</v>
      </c>
      <c r="F143" s="163">
        <v>9</v>
      </c>
      <c r="G143" s="205">
        <v>3</v>
      </c>
      <c r="H143" s="206">
        <f t="shared" si="25"/>
        <v>1696.78</v>
      </c>
      <c r="I143" s="206">
        <f t="shared" si="39"/>
        <v>1541.07</v>
      </c>
      <c r="J143" s="207">
        <f t="shared" si="36"/>
        <v>4623.21</v>
      </c>
      <c r="K143" s="208">
        <f t="shared" si="41"/>
        <v>5090.34</v>
      </c>
      <c r="L143" s="209">
        <f t="shared" ref="L143:L153" si="43">+J143-K143</f>
        <v>-467.13000000000011</v>
      </c>
      <c r="M143" s="210">
        <f t="shared" si="26"/>
        <v>-23.460582036407345</v>
      </c>
      <c r="N143" s="211">
        <f t="shared" si="27"/>
        <v>-490.59058203640745</v>
      </c>
      <c r="O143" s="210">
        <v>0</v>
      </c>
      <c r="P143" s="210">
        <v>0</v>
      </c>
      <c r="Q143" s="210">
        <v>0</v>
      </c>
      <c r="R143" s="211">
        <f t="shared" si="28"/>
        <v>-490.59058203640745</v>
      </c>
    </row>
    <row r="144" spans="1:18" x14ac:dyDescent="0.25">
      <c r="A144" s="163">
        <v>5</v>
      </c>
      <c r="B144" s="202">
        <f t="shared" si="35"/>
        <v>43586</v>
      </c>
      <c r="C144" s="226">
        <f t="shared" si="42"/>
        <v>43621</v>
      </c>
      <c r="D144" s="226">
        <f t="shared" si="42"/>
        <v>43636</v>
      </c>
      <c r="E144" s="54" t="s">
        <v>16</v>
      </c>
      <c r="F144" s="163">
        <v>9</v>
      </c>
      <c r="G144" s="205">
        <v>3</v>
      </c>
      <c r="H144" s="206">
        <f t="shared" si="25"/>
        <v>1696.78</v>
      </c>
      <c r="I144" s="206">
        <f t="shared" si="39"/>
        <v>1541.07</v>
      </c>
      <c r="J144" s="207">
        <f t="shared" si="36"/>
        <v>4623.21</v>
      </c>
      <c r="K144" s="208">
        <f t="shared" si="41"/>
        <v>5090.34</v>
      </c>
      <c r="L144" s="209">
        <f t="shared" si="43"/>
        <v>-467.13000000000011</v>
      </c>
      <c r="M144" s="210">
        <f t="shared" si="26"/>
        <v>-23.460582036407345</v>
      </c>
      <c r="N144" s="211">
        <f t="shared" si="27"/>
        <v>-490.59058203640745</v>
      </c>
      <c r="O144" s="210">
        <v>0</v>
      </c>
      <c r="P144" s="210">
        <v>0</v>
      </c>
      <c r="Q144" s="210">
        <v>0</v>
      </c>
      <c r="R144" s="211">
        <f t="shared" si="28"/>
        <v>-490.59058203640745</v>
      </c>
    </row>
    <row r="145" spans="1:19" x14ac:dyDescent="0.25">
      <c r="A145" s="163">
        <v>6</v>
      </c>
      <c r="B145" s="202">
        <f t="shared" si="35"/>
        <v>43617</v>
      </c>
      <c r="C145" s="226">
        <f t="shared" si="42"/>
        <v>43649</v>
      </c>
      <c r="D145" s="226">
        <f t="shared" si="42"/>
        <v>43664</v>
      </c>
      <c r="E145" s="54" t="s">
        <v>16</v>
      </c>
      <c r="F145" s="163">
        <v>9</v>
      </c>
      <c r="G145" s="205">
        <v>2</v>
      </c>
      <c r="H145" s="206">
        <f t="shared" si="25"/>
        <v>1696.78</v>
      </c>
      <c r="I145" s="206">
        <f t="shared" si="39"/>
        <v>1541.07</v>
      </c>
      <c r="J145" s="207">
        <f t="shared" si="36"/>
        <v>3082.14</v>
      </c>
      <c r="K145" s="208">
        <f t="shared" si="41"/>
        <v>3393.56</v>
      </c>
      <c r="L145" s="213">
        <f t="shared" si="43"/>
        <v>-311.42000000000007</v>
      </c>
      <c r="M145" s="210">
        <f t="shared" si="26"/>
        <v>-15.640388024271562</v>
      </c>
      <c r="N145" s="211">
        <f t="shared" si="27"/>
        <v>-327.06038802427162</v>
      </c>
      <c r="O145" s="210">
        <v>0</v>
      </c>
      <c r="P145" s="210">
        <v>0</v>
      </c>
      <c r="Q145" s="210">
        <v>0</v>
      </c>
      <c r="R145" s="211">
        <f t="shared" si="28"/>
        <v>-327.06038802427162</v>
      </c>
    </row>
    <row r="146" spans="1:19" x14ac:dyDescent="0.25">
      <c r="A146" s="125">
        <v>7</v>
      </c>
      <c r="B146" s="202">
        <f t="shared" si="35"/>
        <v>43647</v>
      </c>
      <c r="C146" s="226">
        <f t="shared" si="42"/>
        <v>43682</v>
      </c>
      <c r="D146" s="226">
        <f t="shared" si="42"/>
        <v>43697</v>
      </c>
      <c r="E146" s="54" t="s">
        <v>16</v>
      </c>
      <c r="F146" s="163">
        <v>9</v>
      </c>
      <c r="G146" s="205">
        <v>6</v>
      </c>
      <c r="H146" s="206">
        <f t="shared" si="25"/>
        <v>1696.78</v>
      </c>
      <c r="I146" s="206">
        <f t="shared" si="39"/>
        <v>1541.07</v>
      </c>
      <c r="J146" s="207">
        <f t="shared" si="36"/>
        <v>9246.42</v>
      </c>
      <c r="K146" s="214">
        <f t="shared" si="41"/>
        <v>10180.68</v>
      </c>
      <c r="L146" s="213">
        <f t="shared" si="43"/>
        <v>-934.26000000000022</v>
      </c>
      <c r="M146" s="210">
        <f t="shared" si="26"/>
        <v>-46.92116407281469</v>
      </c>
      <c r="N146" s="211">
        <f t="shared" si="27"/>
        <v>-981.18116407281491</v>
      </c>
      <c r="O146" s="210">
        <v>0</v>
      </c>
      <c r="P146" s="210">
        <v>0</v>
      </c>
      <c r="Q146" s="210">
        <v>0</v>
      </c>
      <c r="R146" s="211">
        <f t="shared" si="28"/>
        <v>-981.18116407281491</v>
      </c>
    </row>
    <row r="147" spans="1:19" x14ac:dyDescent="0.25">
      <c r="A147" s="163">
        <v>8</v>
      </c>
      <c r="B147" s="202">
        <f t="shared" si="35"/>
        <v>43678</v>
      </c>
      <c r="C147" s="226">
        <f t="shared" si="42"/>
        <v>43712</v>
      </c>
      <c r="D147" s="226">
        <f t="shared" si="42"/>
        <v>43727</v>
      </c>
      <c r="E147" s="54" t="s">
        <v>16</v>
      </c>
      <c r="F147" s="163">
        <v>9</v>
      </c>
      <c r="G147" s="205">
        <v>4</v>
      </c>
      <c r="H147" s="206">
        <f t="shared" si="25"/>
        <v>1696.78</v>
      </c>
      <c r="I147" s="206">
        <f t="shared" si="39"/>
        <v>1541.07</v>
      </c>
      <c r="J147" s="207">
        <f t="shared" si="36"/>
        <v>6164.28</v>
      </c>
      <c r="K147" s="214">
        <f t="shared" si="41"/>
        <v>6787.12</v>
      </c>
      <c r="L147" s="213">
        <f t="shared" si="43"/>
        <v>-622.84000000000015</v>
      </c>
      <c r="M147" s="210">
        <f t="shared" si="26"/>
        <v>-31.280776048543125</v>
      </c>
      <c r="N147" s="211">
        <f t="shared" si="27"/>
        <v>-654.12077604854323</v>
      </c>
      <c r="O147" s="210">
        <v>0</v>
      </c>
      <c r="P147" s="210">
        <v>0</v>
      </c>
      <c r="Q147" s="210">
        <v>0</v>
      </c>
      <c r="R147" s="211">
        <f t="shared" si="28"/>
        <v>-654.12077604854323</v>
      </c>
    </row>
    <row r="148" spans="1:19" x14ac:dyDescent="0.25">
      <c r="A148" s="163">
        <v>9</v>
      </c>
      <c r="B148" s="202">
        <f t="shared" si="35"/>
        <v>43709</v>
      </c>
      <c r="C148" s="226">
        <f t="shared" si="42"/>
        <v>43741</v>
      </c>
      <c r="D148" s="226">
        <f t="shared" si="42"/>
        <v>43756</v>
      </c>
      <c r="E148" s="54" t="s">
        <v>16</v>
      </c>
      <c r="F148" s="163">
        <v>9</v>
      </c>
      <c r="G148" s="205">
        <v>3</v>
      </c>
      <c r="H148" s="206">
        <f t="shared" ref="H148:H211" si="44">$K$3</f>
        <v>1696.78</v>
      </c>
      <c r="I148" s="206">
        <f t="shared" ref="I148:I179" si="45">$J$3</f>
        <v>1541.07</v>
      </c>
      <c r="J148" s="207">
        <f t="shared" si="36"/>
        <v>4623.21</v>
      </c>
      <c r="K148" s="214">
        <f t="shared" si="41"/>
        <v>5090.34</v>
      </c>
      <c r="L148" s="213">
        <f t="shared" si="43"/>
        <v>-467.13000000000011</v>
      </c>
      <c r="M148" s="210">
        <f t="shared" si="26"/>
        <v>-23.460582036407345</v>
      </c>
      <c r="N148" s="211">
        <f t="shared" si="27"/>
        <v>-490.59058203640745</v>
      </c>
      <c r="O148" s="210">
        <v>0</v>
      </c>
      <c r="P148" s="210">
        <v>0</v>
      </c>
      <c r="Q148" s="210">
        <v>0</v>
      </c>
      <c r="R148" s="211">
        <f t="shared" si="28"/>
        <v>-490.59058203640745</v>
      </c>
    </row>
    <row r="149" spans="1:19" x14ac:dyDescent="0.25">
      <c r="A149" s="125">
        <v>10</v>
      </c>
      <c r="B149" s="202">
        <f t="shared" ref="B149:B211" si="46">DATE($R$1,A149,1)</f>
        <v>43739</v>
      </c>
      <c r="C149" s="226">
        <f t="shared" si="42"/>
        <v>43774</v>
      </c>
      <c r="D149" s="226">
        <f t="shared" si="42"/>
        <v>43789</v>
      </c>
      <c r="E149" s="54" t="s">
        <v>16</v>
      </c>
      <c r="F149" s="163">
        <v>9</v>
      </c>
      <c r="G149" s="205">
        <v>4</v>
      </c>
      <c r="H149" s="206">
        <f t="shared" si="44"/>
        <v>1696.78</v>
      </c>
      <c r="I149" s="206">
        <f t="shared" si="45"/>
        <v>1541.07</v>
      </c>
      <c r="J149" s="207">
        <f t="shared" ref="J149:J211" si="47">+$G149*I149</f>
        <v>6164.28</v>
      </c>
      <c r="K149" s="214">
        <f t="shared" si="41"/>
        <v>6787.12</v>
      </c>
      <c r="L149" s="213">
        <f t="shared" si="43"/>
        <v>-622.84000000000015</v>
      </c>
      <c r="M149" s="210">
        <f t="shared" ref="M149:M211" si="48">G149/$G$212*$M$14</f>
        <v>-31.280776048543125</v>
      </c>
      <c r="N149" s="211">
        <f t="shared" ref="N149:N211" si="49">SUM(L149:M149)</f>
        <v>-654.12077604854323</v>
      </c>
      <c r="O149" s="210">
        <v>0</v>
      </c>
      <c r="P149" s="210">
        <v>0</v>
      </c>
      <c r="Q149" s="210">
        <v>0</v>
      </c>
      <c r="R149" s="211">
        <f t="shared" ref="R149:R211" si="50">+N149-Q149</f>
        <v>-654.12077604854323</v>
      </c>
    </row>
    <row r="150" spans="1:19" x14ac:dyDescent="0.25">
      <c r="A150" s="163">
        <v>11</v>
      </c>
      <c r="B150" s="202">
        <f t="shared" si="46"/>
        <v>43770</v>
      </c>
      <c r="C150" s="226">
        <f t="shared" si="42"/>
        <v>43803</v>
      </c>
      <c r="D150" s="226">
        <f t="shared" si="42"/>
        <v>43818</v>
      </c>
      <c r="E150" s="54" t="s">
        <v>16</v>
      </c>
      <c r="F150" s="163">
        <v>9</v>
      </c>
      <c r="G150" s="205">
        <v>4</v>
      </c>
      <c r="H150" s="206">
        <f t="shared" si="44"/>
        <v>1696.78</v>
      </c>
      <c r="I150" s="206">
        <f t="shared" si="45"/>
        <v>1541.07</v>
      </c>
      <c r="J150" s="207">
        <f t="shared" si="47"/>
        <v>6164.28</v>
      </c>
      <c r="K150" s="214">
        <f t="shared" si="41"/>
        <v>6787.12</v>
      </c>
      <c r="L150" s="213">
        <f t="shared" si="43"/>
        <v>-622.84000000000015</v>
      </c>
      <c r="M150" s="210">
        <f t="shared" si="48"/>
        <v>-31.280776048543125</v>
      </c>
      <c r="N150" s="211">
        <f t="shared" si="49"/>
        <v>-654.12077604854323</v>
      </c>
      <c r="O150" s="210">
        <v>0</v>
      </c>
      <c r="P150" s="210">
        <v>0</v>
      </c>
      <c r="Q150" s="210">
        <v>0</v>
      </c>
      <c r="R150" s="211">
        <f t="shared" si="50"/>
        <v>-654.12077604854323</v>
      </c>
    </row>
    <row r="151" spans="1:19" s="230" customFormat="1" x14ac:dyDescent="0.25">
      <c r="A151" s="163">
        <v>12</v>
      </c>
      <c r="B151" s="228">
        <f t="shared" si="46"/>
        <v>43800</v>
      </c>
      <c r="C151" s="226">
        <f t="shared" si="42"/>
        <v>43833</v>
      </c>
      <c r="D151" s="226">
        <f t="shared" si="42"/>
        <v>43850</v>
      </c>
      <c r="E151" s="229" t="s">
        <v>16</v>
      </c>
      <c r="F151" s="174">
        <v>9</v>
      </c>
      <c r="G151" s="217">
        <v>4</v>
      </c>
      <c r="H151" s="206">
        <f t="shared" si="44"/>
        <v>1696.78</v>
      </c>
      <c r="I151" s="218">
        <f t="shared" si="45"/>
        <v>1541.07</v>
      </c>
      <c r="J151" s="219">
        <f t="shared" si="47"/>
        <v>6164.28</v>
      </c>
      <c r="K151" s="220">
        <f t="shared" si="41"/>
        <v>6787.12</v>
      </c>
      <c r="L151" s="221">
        <f t="shared" si="43"/>
        <v>-622.84000000000015</v>
      </c>
      <c r="M151" s="210">
        <f t="shared" si="48"/>
        <v>-31.280776048543125</v>
      </c>
      <c r="N151" s="211">
        <f t="shared" si="49"/>
        <v>-654.12077604854323</v>
      </c>
      <c r="O151" s="210">
        <v>0</v>
      </c>
      <c r="P151" s="210">
        <v>0</v>
      </c>
      <c r="Q151" s="210">
        <v>0</v>
      </c>
      <c r="R151" s="211">
        <f t="shared" si="50"/>
        <v>-654.12077604854323</v>
      </c>
    </row>
    <row r="152" spans="1:19" x14ac:dyDescent="0.25">
      <c r="A152" s="125">
        <v>1</v>
      </c>
      <c r="B152" s="202">
        <f t="shared" si="46"/>
        <v>43466</v>
      </c>
      <c r="C152" s="223">
        <f t="shared" ref="C152:D171" si="51">+C140</f>
        <v>43501</v>
      </c>
      <c r="D152" s="223">
        <f t="shared" si="51"/>
        <v>43516</v>
      </c>
      <c r="E152" s="233" t="s">
        <v>54</v>
      </c>
      <c r="F152" s="125">
        <v>9</v>
      </c>
      <c r="G152" s="205">
        <v>108</v>
      </c>
      <c r="H152" s="206">
        <f t="shared" si="44"/>
        <v>1696.78</v>
      </c>
      <c r="I152" s="206">
        <f t="shared" si="45"/>
        <v>1541.07</v>
      </c>
      <c r="J152" s="207">
        <f t="shared" si="47"/>
        <v>166435.56</v>
      </c>
      <c r="K152" s="208">
        <f t="shared" si="41"/>
        <v>183252.24</v>
      </c>
      <c r="L152" s="209">
        <f t="shared" si="43"/>
        <v>-16816.679999999993</v>
      </c>
      <c r="M152" s="210">
        <f t="shared" si="48"/>
        <v>-844.58095331066431</v>
      </c>
      <c r="N152" s="211">
        <f t="shared" si="49"/>
        <v>-17661.260953310659</v>
      </c>
      <c r="O152" s="210">
        <v>0</v>
      </c>
      <c r="P152" s="210">
        <v>0</v>
      </c>
      <c r="Q152" s="210">
        <v>0</v>
      </c>
      <c r="R152" s="211">
        <f t="shared" si="50"/>
        <v>-17661.260953310659</v>
      </c>
    </row>
    <row r="153" spans="1:19" x14ac:dyDescent="0.25">
      <c r="A153" s="163">
        <v>2</v>
      </c>
      <c r="B153" s="202">
        <f t="shared" si="46"/>
        <v>43497</v>
      </c>
      <c r="C153" s="226">
        <f t="shared" si="51"/>
        <v>43529</v>
      </c>
      <c r="D153" s="226">
        <f t="shared" si="51"/>
        <v>43544</v>
      </c>
      <c r="E153" s="234" t="s">
        <v>54</v>
      </c>
      <c r="F153" s="163">
        <v>9</v>
      </c>
      <c r="G153" s="205">
        <v>116</v>
      </c>
      <c r="H153" s="206">
        <f t="shared" si="44"/>
        <v>1696.78</v>
      </c>
      <c r="I153" s="206">
        <f t="shared" si="45"/>
        <v>1541.07</v>
      </c>
      <c r="J153" s="207">
        <f t="shared" si="47"/>
        <v>178764.12</v>
      </c>
      <c r="K153" s="208">
        <f t="shared" si="41"/>
        <v>196826.48</v>
      </c>
      <c r="L153" s="209">
        <f t="shared" si="43"/>
        <v>-18062.360000000015</v>
      </c>
      <c r="M153" s="210">
        <f t="shared" si="48"/>
        <v>-907.14250540775072</v>
      </c>
      <c r="N153" s="211">
        <f t="shared" si="49"/>
        <v>-18969.502505407767</v>
      </c>
      <c r="O153" s="210">
        <v>0</v>
      </c>
      <c r="P153" s="210">
        <v>0</v>
      </c>
      <c r="Q153" s="210">
        <v>0</v>
      </c>
      <c r="R153" s="211">
        <f t="shared" si="50"/>
        <v>-18969.502505407767</v>
      </c>
    </row>
    <row r="154" spans="1:19" x14ac:dyDescent="0.25">
      <c r="A154" s="163">
        <v>3</v>
      </c>
      <c r="B154" s="202">
        <f t="shared" si="46"/>
        <v>43525</v>
      </c>
      <c r="C154" s="226">
        <f t="shared" si="51"/>
        <v>43558</v>
      </c>
      <c r="D154" s="226">
        <f t="shared" si="51"/>
        <v>43573</v>
      </c>
      <c r="E154" s="234" t="s">
        <v>54</v>
      </c>
      <c r="F154" s="163">
        <v>9</v>
      </c>
      <c r="G154" s="205">
        <v>115</v>
      </c>
      <c r="H154" s="206">
        <f t="shared" si="44"/>
        <v>1696.78</v>
      </c>
      <c r="I154" s="206">
        <f t="shared" si="45"/>
        <v>1541.07</v>
      </c>
      <c r="J154" s="207">
        <f t="shared" si="47"/>
        <v>177223.05</v>
      </c>
      <c r="K154" s="208">
        <f t="shared" si="41"/>
        <v>195129.69999999998</v>
      </c>
      <c r="L154" s="209">
        <f>+J154-K154</f>
        <v>-17906.649999999994</v>
      </c>
      <c r="M154" s="210">
        <f t="shared" si="48"/>
        <v>-899.32231139561475</v>
      </c>
      <c r="N154" s="211">
        <f t="shared" si="49"/>
        <v>-18805.97231139561</v>
      </c>
      <c r="O154" s="210">
        <v>0</v>
      </c>
      <c r="P154" s="210">
        <v>0</v>
      </c>
      <c r="Q154" s="210">
        <v>0</v>
      </c>
      <c r="R154" s="211">
        <f t="shared" si="50"/>
        <v>-18805.97231139561</v>
      </c>
    </row>
    <row r="155" spans="1:19" x14ac:dyDescent="0.25">
      <c r="A155" s="125">
        <v>4</v>
      </c>
      <c r="B155" s="202">
        <f t="shared" si="46"/>
        <v>43556</v>
      </c>
      <c r="C155" s="226">
        <f t="shared" si="51"/>
        <v>43588</v>
      </c>
      <c r="D155" s="226">
        <f t="shared" si="51"/>
        <v>43605</v>
      </c>
      <c r="E155" s="234" t="s">
        <v>54</v>
      </c>
      <c r="F155" s="163">
        <v>9</v>
      </c>
      <c r="G155" s="205">
        <v>96</v>
      </c>
      <c r="H155" s="206">
        <f t="shared" si="44"/>
        <v>1696.78</v>
      </c>
      <c r="I155" s="206">
        <f t="shared" si="45"/>
        <v>1541.07</v>
      </c>
      <c r="J155" s="207">
        <f t="shared" si="47"/>
        <v>147942.72</v>
      </c>
      <c r="K155" s="208">
        <f t="shared" si="41"/>
        <v>162890.88</v>
      </c>
      <c r="L155" s="209">
        <f t="shared" ref="L155:L165" si="52">+J155-K155</f>
        <v>-14948.160000000003</v>
      </c>
      <c r="M155" s="210">
        <f t="shared" si="48"/>
        <v>-750.73862516503505</v>
      </c>
      <c r="N155" s="211">
        <f t="shared" si="49"/>
        <v>-15698.898625165039</v>
      </c>
      <c r="O155" s="210">
        <v>0</v>
      </c>
      <c r="P155" s="210">
        <v>0</v>
      </c>
      <c r="Q155" s="210">
        <v>0</v>
      </c>
      <c r="R155" s="211">
        <f t="shared" si="50"/>
        <v>-15698.898625165039</v>
      </c>
    </row>
    <row r="156" spans="1:19" x14ac:dyDescent="0.25">
      <c r="A156" s="163">
        <v>5</v>
      </c>
      <c r="B156" s="202">
        <f t="shared" si="46"/>
        <v>43586</v>
      </c>
      <c r="C156" s="226">
        <f t="shared" si="51"/>
        <v>43621</v>
      </c>
      <c r="D156" s="226">
        <f t="shared" si="51"/>
        <v>43636</v>
      </c>
      <c r="E156" s="234" t="s">
        <v>54</v>
      </c>
      <c r="F156" s="163">
        <v>9</v>
      </c>
      <c r="G156" s="205">
        <v>127</v>
      </c>
      <c r="H156" s="206">
        <f t="shared" si="44"/>
        <v>1696.78</v>
      </c>
      <c r="I156" s="206">
        <f t="shared" si="45"/>
        <v>1541.07</v>
      </c>
      <c r="J156" s="207">
        <f t="shared" si="47"/>
        <v>195715.88999999998</v>
      </c>
      <c r="K156" s="208">
        <f t="shared" si="41"/>
        <v>215491.06</v>
      </c>
      <c r="L156" s="209">
        <f t="shared" si="52"/>
        <v>-19775.170000000013</v>
      </c>
      <c r="M156" s="210">
        <f t="shared" si="48"/>
        <v>-993.16463954124424</v>
      </c>
      <c r="N156" s="211">
        <f t="shared" si="49"/>
        <v>-20768.334639541255</v>
      </c>
      <c r="O156" s="210">
        <v>0</v>
      </c>
      <c r="P156" s="210">
        <v>0</v>
      </c>
      <c r="Q156" s="210">
        <v>0</v>
      </c>
      <c r="R156" s="211">
        <f t="shared" si="50"/>
        <v>-20768.334639541255</v>
      </c>
    </row>
    <row r="157" spans="1:19" x14ac:dyDescent="0.25">
      <c r="A157" s="163">
        <v>6</v>
      </c>
      <c r="B157" s="202">
        <f t="shared" si="46"/>
        <v>43617</v>
      </c>
      <c r="C157" s="226">
        <f t="shared" si="51"/>
        <v>43649</v>
      </c>
      <c r="D157" s="226">
        <f t="shared" si="51"/>
        <v>43664</v>
      </c>
      <c r="E157" s="234" t="s">
        <v>54</v>
      </c>
      <c r="F157" s="163">
        <v>9</v>
      </c>
      <c r="G157" s="205">
        <v>143</v>
      </c>
      <c r="H157" s="206">
        <f t="shared" si="44"/>
        <v>1696.78</v>
      </c>
      <c r="I157" s="206">
        <f t="shared" si="45"/>
        <v>1541.07</v>
      </c>
      <c r="J157" s="207">
        <f t="shared" si="47"/>
        <v>220373.00999999998</v>
      </c>
      <c r="K157" s="208">
        <f t="shared" si="41"/>
        <v>242639.54</v>
      </c>
      <c r="L157" s="213">
        <f t="shared" si="52"/>
        <v>-22266.530000000028</v>
      </c>
      <c r="M157" s="210">
        <f t="shared" si="48"/>
        <v>-1118.2877437354168</v>
      </c>
      <c r="N157" s="211">
        <f t="shared" si="49"/>
        <v>-23384.817743735446</v>
      </c>
      <c r="O157" s="210">
        <v>0</v>
      </c>
      <c r="P157" s="210">
        <v>0</v>
      </c>
      <c r="Q157" s="210">
        <v>0</v>
      </c>
      <c r="R157" s="211">
        <f t="shared" si="50"/>
        <v>-23384.817743735446</v>
      </c>
    </row>
    <row r="158" spans="1:19" x14ac:dyDescent="0.25">
      <c r="A158" s="125">
        <v>7</v>
      </c>
      <c r="B158" s="202">
        <f t="shared" si="46"/>
        <v>43647</v>
      </c>
      <c r="C158" s="226">
        <f t="shared" si="51"/>
        <v>43682</v>
      </c>
      <c r="D158" s="226">
        <f t="shared" si="51"/>
        <v>43697</v>
      </c>
      <c r="E158" s="234" t="s">
        <v>54</v>
      </c>
      <c r="F158" s="163">
        <v>9</v>
      </c>
      <c r="G158" s="205">
        <v>153</v>
      </c>
      <c r="H158" s="206">
        <f t="shared" si="44"/>
        <v>1696.78</v>
      </c>
      <c r="I158" s="206">
        <f t="shared" si="45"/>
        <v>1541.07</v>
      </c>
      <c r="J158" s="207">
        <f t="shared" si="47"/>
        <v>235783.71</v>
      </c>
      <c r="K158" s="214">
        <f t="shared" si="41"/>
        <v>259607.34</v>
      </c>
      <c r="L158" s="213">
        <f t="shared" si="52"/>
        <v>-23823.630000000005</v>
      </c>
      <c r="M158" s="210">
        <f t="shared" si="48"/>
        <v>-1196.4896838567745</v>
      </c>
      <c r="N158" s="211">
        <f t="shared" si="49"/>
        <v>-25020.119683856778</v>
      </c>
      <c r="O158" s="210">
        <v>0</v>
      </c>
      <c r="P158" s="210">
        <v>0</v>
      </c>
      <c r="Q158" s="210">
        <v>0</v>
      </c>
      <c r="R158" s="211">
        <f t="shared" si="50"/>
        <v>-25020.119683856778</v>
      </c>
    </row>
    <row r="159" spans="1:19" x14ac:dyDescent="0.25">
      <c r="A159" s="163">
        <v>8</v>
      </c>
      <c r="B159" s="202">
        <f t="shared" si="46"/>
        <v>43678</v>
      </c>
      <c r="C159" s="226">
        <f t="shared" si="51"/>
        <v>43712</v>
      </c>
      <c r="D159" s="226">
        <f t="shared" si="51"/>
        <v>43727</v>
      </c>
      <c r="E159" s="234" t="s">
        <v>54</v>
      </c>
      <c r="F159" s="125">
        <v>9</v>
      </c>
      <c r="G159" s="205">
        <v>162</v>
      </c>
      <c r="H159" s="206">
        <f t="shared" si="44"/>
        <v>1696.78</v>
      </c>
      <c r="I159" s="206">
        <f t="shared" si="45"/>
        <v>1541.07</v>
      </c>
      <c r="J159" s="207">
        <f t="shared" si="47"/>
        <v>249653.34</v>
      </c>
      <c r="K159" s="214">
        <f t="shared" si="41"/>
        <v>274878.36</v>
      </c>
      <c r="L159" s="213">
        <f t="shared" si="52"/>
        <v>-25225.01999999999</v>
      </c>
      <c r="M159" s="210">
        <f t="shared" si="48"/>
        <v>-1266.8714299659966</v>
      </c>
      <c r="N159" s="211">
        <f t="shared" si="49"/>
        <v>-26491.891429965985</v>
      </c>
      <c r="O159" s="210">
        <v>0</v>
      </c>
      <c r="P159" s="210">
        <v>0</v>
      </c>
      <c r="Q159" s="210">
        <v>0</v>
      </c>
      <c r="R159" s="211">
        <f t="shared" si="50"/>
        <v>-26491.891429965985</v>
      </c>
      <c r="S159" s="52"/>
    </row>
    <row r="160" spans="1:19" x14ac:dyDescent="0.25">
      <c r="A160" s="163">
        <v>9</v>
      </c>
      <c r="B160" s="202">
        <f t="shared" si="46"/>
        <v>43709</v>
      </c>
      <c r="C160" s="226">
        <f t="shared" si="51"/>
        <v>43741</v>
      </c>
      <c r="D160" s="226">
        <f t="shared" si="51"/>
        <v>43756</v>
      </c>
      <c r="E160" s="234" t="s">
        <v>54</v>
      </c>
      <c r="F160" s="125">
        <v>9</v>
      </c>
      <c r="G160" s="205">
        <v>145</v>
      </c>
      <c r="H160" s="206">
        <f t="shared" si="44"/>
        <v>1696.78</v>
      </c>
      <c r="I160" s="206">
        <f t="shared" si="45"/>
        <v>1541.07</v>
      </c>
      <c r="J160" s="207">
        <f t="shared" si="47"/>
        <v>223455.15</v>
      </c>
      <c r="K160" s="214">
        <f t="shared" si="41"/>
        <v>246033.1</v>
      </c>
      <c r="L160" s="213">
        <f t="shared" si="52"/>
        <v>-22577.950000000012</v>
      </c>
      <c r="M160" s="210">
        <f t="shared" si="48"/>
        <v>-1133.9281317596881</v>
      </c>
      <c r="N160" s="211">
        <f t="shared" si="49"/>
        <v>-23711.878131759699</v>
      </c>
      <c r="O160" s="210">
        <v>0</v>
      </c>
      <c r="P160" s="210">
        <v>0</v>
      </c>
      <c r="Q160" s="210">
        <v>0</v>
      </c>
      <c r="R160" s="211">
        <f t="shared" si="50"/>
        <v>-23711.878131759699</v>
      </c>
    </row>
    <row r="161" spans="1:19" x14ac:dyDescent="0.25">
      <c r="A161" s="125">
        <v>10</v>
      </c>
      <c r="B161" s="202">
        <f t="shared" si="46"/>
        <v>43739</v>
      </c>
      <c r="C161" s="226">
        <f t="shared" si="51"/>
        <v>43774</v>
      </c>
      <c r="D161" s="226">
        <f t="shared" si="51"/>
        <v>43789</v>
      </c>
      <c r="E161" s="234" t="s">
        <v>54</v>
      </c>
      <c r="F161" s="125">
        <v>9</v>
      </c>
      <c r="G161" s="205">
        <v>134</v>
      </c>
      <c r="H161" s="206">
        <f t="shared" si="44"/>
        <v>1696.78</v>
      </c>
      <c r="I161" s="206">
        <f t="shared" si="45"/>
        <v>1541.07</v>
      </c>
      <c r="J161" s="207">
        <f t="shared" si="47"/>
        <v>206503.38</v>
      </c>
      <c r="K161" s="214">
        <f t="shared" si="41"/>
        <v>227368.52</v>
      </c>
      <c r="L161" s="213">
        <f t="shared" si="52"/>
        <v>-20865.139999999985</v>
      </c>
      <c r="M161" s="210">
        <f t="shared" si="48"/>
        <v>-1047.9059976261947</v>
      </c>
      <c r="N161" s="211">
        <f t="shared" si="49"/>
        <v>-21913.045997626181</v>
      </c>
      <c r="O161" s="210">
        <v>0</v>
      </c>
      <c r="P161" s="210">
        <v>0</v>
      </c>
      <c r="Q161" s="210">
        <v>0</v>
      </c>
      <c r="R161" s="211">
        <f t="shared" si="50"/>
        <v>-21913.045997626181</v>
      </c>
    </row>
    <row r="162" spans="1:19" x14ac:dyDescent="0.25">
      <c r="A162" s="163">
        <v>11</v>
      </c>
      <c r="B162" s="202">
        <f t="shared" si="46"/>
        <v>43770</v>
      </c>
      <c r="C162" s="226">
        <f t="shared" si="51"/>
        <v>43803</v>
      </c>
      <c r="D162" s="226">
        <f t="shared" si="51"/>
        <v>43818</v>
      </c>
      <c r="E162" s="234" t="s">
        <v>54</v>
      </c>
      <c r="F162" s="125">
        <v>9</v>
      </c>
      <c r="G162" s="205">
        <v>105</v>
      </c>
      <c r="H162" s="206">
        <f t="shared" si="44"/>
        <v>1696.78</v>
      </c>
      <c r="I162" s="206">
        <f t="shared" si="45"/>
        <v>1541.07</v>
      </c>
      <c r="J162" s="207">
        <f t="shared" si="47"/>
        <v>161812.35</v>
      </c>
      <c r="K162" s="214">
        <f t="shared" si="41"/>
        <v>178161.9</v>
      </c>
      <c r="L162" s="213">
        <f t="shared" si="52"/>
        <v>-16349.549999999988</v>
      </c>
      <c r="M162" s="210">
        <f t="shared" si="48"/>
        <v>-821.12037127425697</v>
      </c>
      <c r="N162" s="211">
        <f t="shared" si="49"/>
        <v>-17170.670371274246</v>
      </c>
      <c r="O162" s="210">
        <v>0</v>
      </c>
      <c r="P162" s="210">
        <v>0</v>
      </c>
      <c r="Q162" s="210">
        <v>0</v>
      </c>
      <c r="R162" s="211">
        <f t="shared" si="50"/>
        <v>-17170.670371274246</v>
      </c>
    </row>
    <row r="163" spans="1:19" s="230" customFormat="1" x14ac:dyDescent="0.25">
      <c r="A163" s="163">
        <v>12</v>
      </c>
      <c r="B163" s="228">
        <f t="shared" si="46"/>
        <v>43800</v>
      </c>
      <c r="C163" s="226">
        <f t="shared" si="51"/>
        <v>43833</v>
      </c>
      <c r="D163" s="226">
        <f t="shared" si="51"/>
        <v>43850</v>
      </c>
      <c r="E163" s="235" t="s">
        <v>54</v>
      </c>
      <c r="F163" s="174">
        <v>9</v>
      </c>
      <c r="G163" s="217">
        <v>106</v>
      </c>
      <c r="H163" s="206">
        <f t="shared" si="44"/>
        <v>1696.78</v>
      </c>
      <c r="I163" s="218">
        <f t="shared" si="45"/>
        <v>1541.07</v>
      </c>
      <c r="J163" s="219">
        <f t="shared" si="47"/>
        <v>163353.41999999998</v>
      </c>
      <c r="K163" s="220">
        <f t="shared" si="41"/>
        <v>179858.68</v>
      </c>
      <c r="L163" s="221">
        <f t="shared" si="52"/>
        <v>-16505.260000000009</v>
      </c>
      <c r="M163" s="210">
        <f t="shared" si="48"/>
        <v>-828.94056528639283</v>
      </c>
      <c r="N163" s="211">
        <f t="shared" si="49"/>
        <v>-17334.200565286403</v>
      </c>
      <c r="O163" s="210">
        <v>0</v>
      </c>
      <c r="P163" s="210">
        <v>0</v>
      </c>
      <c r="Q163" s="210">
        <v>0</v>
      </c>
      <c r="R163" s="211">
        <f t="shared" si="50"/>
        <v>-17334.200565286403</v>
      </c>
    </row>
    <row r="164" spans="1:19" x14ac:dyDescent="0.25">
      <c r="A164" s="125">
        <v>1</v>
      </c>
      <c r="B164" s="202">
        <f t="shared" si="46"/>
        <v>43466</v>
      </c>
      <c r="C164" s="223">
        <f t="shared" si="51"/>
        <v>43501</v>
      </c>
      <c r="D164" s="223">
        <f t="shared" si="51"/>
        <v>43516</v>
      </c>
      <c r="E164" s="233" t="s">
        <v>55</v>
      </c>
      <c r="F164" s="125">
        <v>9</v>
      </c>
      <c r="G164" s="205">
        <v>11</v>
      </c>
      <c r="H164" s="206">
        <f t="shared" si="44"/>
        <v>1696.78</v>
      </c>
      <c r="I164" s="206">
        <f t="shared" si="45"/>
        <v>1541.07</v>
      </c>
      <c r="J164" s="207">
        <f t="shared" si="47"/>
        <v>16951.77</v>
      </c>
      <c r="K164" s="208">
        <f t="shared" si="41"/>
        <v>18664.579999999998</v>
      </c>
      <c r="L164" s="209">
        <f t="shared" si="52"/>
        <v>-1712.8099999999977</v>
      </c>
      <c r="M164" s="210">
        <f t="shared" si="48"/>
        <v>-86.022134133493594</v>
      </c>
      <c r="N164" s="211">
        <f t="shared" si="49"/>
        <v>-1798.8321341334913</v>
      </c>
      <c r="O164" s="210">
        <v>0</v>
      </c>
      <c r="P164" s="210">
        <v>0</v>
      </c>
      <c r="Q164" s="210">
        <v>0</v>
      </c>
      <c r="R164" s="211">
        <f t="shared" si="50"/>
        <v>-1798.8321341334913</v>
      </c>
    </row>
    <row r="165" spans="1:19" x14ac:dyDescent="0.25">
      <c r="A165" s="163">
        <v>2</v>
      </c>
      <c r="B165" s="202">
        <f t="shared" si="46"/>
        <v>43497</v>
      </c>
      <c r="C165" s="226">
        <f t="shared" si="51"/>
        <v>43529</v>
      </c>
      <c r="D165" s="226">
        <f t="shared" si="51"/>
        <v>43544</v>
      </c>
      <c r="E165" s="234" t="s">
        <v>55</v>
      </c>
      <c r="F165" s="163">
        <v>9</v>
      </c>
      <c r="G165" s="205">
        <v>9</v>
      </c>
      <c r="H165" s="206">
        <f t="shared" si="44"/>
        <v>1696.78</v>
      </c>
      <c r="I165" s="206">
        <f t="shared" si="45"/>
        <v>1541.07</v>
      </c>
      <c r="J165" s="207">
        <f t="shared" si="47"/>
        <v>13869.63</v>
      </c>
      <c r="K165" s="208">
        <f t="shared" si="41"/>
        <v>15271.02</v>
      </c>
      <c r="L165" s="209">
        <f t="shared" si="52"/>
        <v>-1401.3900000000012</v>
      </c>
      <c r="M165" s="210">
        <f t="shared" si="48"/>
        <v>-70.381746109222036</v>
      </c>
      <c r="N165" s="211">
        <f t="shared" si="49"/>
        <v>-1471.7717461092234</v>
      </c>
      <c r="O165" s="210">
        <v>0</v>
      </c>
      <c r="P165" s="210">
        <v>0</v>
      </c>
      <c r="Q165" s="210">
        <v>0</v>
      </c>
      <c r="R165" s="211">
        <f t="shared" si="50"/>
        <v>-1471.7717461092234</v>
      </c>
    </row>
    <row r="166" spans="1:19" x14ac:dyDescent="0.25">
      <c r="A166" s="163">
        <v>3</v>
      </c>
      <c r="B166" s="202">
        <f t="shared" si="46"/>
        <v>43525</v>
      </c>
      <c r="C166" s="226">
        <f t="shared" si="51"/>
        <v>43558</v>
      </c>
      <c r="D166" s="226">
        <f t="shared" si="51"/>
        <v>43573</v>
      </c>
      <c r="E166" s="234" t="s">
        <v>55</v>
      </c>
      <c r="F166" s="163">
        <v>9</v>
      </c>
      <c r="G166" s="205">
        <v>12</v>
      </c>
      <c r="H166" s="206">
        <f t="shared" si="44"/>
        <v>1696.78</v>
      </c>
      <c r="I166" s="206">
        <f t="shared" si="45"/>
        <v>1541.07</v>
      </c>
      <c r="J166" s="207">
        <f t="shared" si="47"/>
        <v>18492.84</v>
      </c>
      <c r="K166" s="208">
        <f t="shared" si="41"/>
        <v>20361.36</v>
      </c>
      <c r="L166" s="209">
        <f>+J166-K166</f>
        <v>-1868.5200000000004</v>
      </c>
      <c r="M166" s="210">
        <f t="shared" si="48"/>
        <v>-93.842328145629381</v>
      </c>
      <c r="N166" s="211">
        <f t="shared" si="49"/>
        <v>-1962.3623281456298</v>
      </c>
      <c r="O166" s="210">
        <v>0</v>
      </c>
      <c r="P166" s="210">
        <v>0</v>
      </c>
      <c r="Q166" s="210">
        <v>0</v>
      </c>
      <c r="R166" s="211">
        <f t="shared" si="50"/>
        <v>-1962.3623281456298</v>
      </c>
    </row>
    <row r="167" spans="1:19" x14ac:dyDescent="0.25">
      <c r="A167" s="125">
        <v>4</v>
      </c>
      <c r="B167" s="202">
        <f t="shared" si="46"/>
        <v>43556</v>
      </c>
      <c r="C167" s="226">
        <f t="shared" si="51"/>
        <v>43588</v>
      </c>
      <c r="D167" s="226">
        <f t="shared" si="51"/>
        <v>43605</v>
      </c>
      <c r="E167" s="234" t="s">
        <v>55</v>
      </c>
      <c r="F167" s="163">
        <v>9</v>
      </c>
      <c r="G167" s="205">
        <v>10</v>
      </c>
      <c r="H167" s="206">
        <f t="shared" si="44"/>
        <v>1696.78</v>
      </c>
      <c r="I167" s="206">
        <f t="shared" si="45"/>
        <v>1541.07</v>
      </c>
      <c r="J167" s="207">
        <f t="shared" si="47"/>
        <v>15410.699999999999</v>
      </c>
      <c r="K167" s="208">
        <f t="shared" si="41"/>
        <v>16967.8</v>
      </c>
      <c r="L167" s="209">
        <f t="shared" ref="L167:L177" si="53">+J167-K167</f>
        <v>-1557.1000000000004</v>
      </c>
      <c r="M167" s="210">
        <f t="shared" si="48"/>
        <v>-78.201940121357808</v>
      </c>
      <c r="N167" s="211">
        <f t="shared" si="49"/>
        <v>-1635.3019401213583</v>
      </c>
      <c r="O167" s="210">
        <v>0</v>
      </c>
      <c r="P167" s="210">
        <v>0</v>
      </c>
      <c r="Q167" s="210">
        <v>0</v>
      </c>
      <c r="R167" s="211">
        <f t="shared" si="50"/>
        <v>-1635.3019401213583</v>
      </c>
    </row>
    <row r="168" spans="1:19" x14ac:dyDescent="0.25">
      <c r="A168" s="163">
        <v>5</v>
      </c>
      <c r="B168" s="202">
        <f t="shared" si="46"/>
        <v>43586</v>
      </c>
      <c r="C168" s="226">
        <f t="shared" si="51"/>
        <v>43621</v>
      </c>
      <c r="D168" s="226">
        <f t="shared" si="51"/>
        <v>43636</v>
      </c>
      <c r="E168" s="234" t="s">
        <v>55</v>
      </c>
      <c r="F168" s="163">
        <v>9</v>
      </c>
      <c r="G168" s="205">
        <v>13</v>
      </c>
      <c r="H168" s="206">
        <f t="shared" si="44"/>
        <v>1696.78</v>
      </c>
      <c r="I168" s="206">
        <f t="shared" si="45"/>
        <v>1541.07</v>
      </c>
      <c r="J168" s="207">
        <f t="shared" si="47"/>
        <v>20033.91</v>
      </c>
      <c r="K168" s="208">
        <f t="shared" si="41"/>
        <v>22058.14</v>
      </c>
      <c r="L168" s="209">
        <f t="shared" si="53"/>
        <v>-2024.2299999999996</v>
      </c>
      <c r="M168" s="210">
        <f t="shared" si="48"/>
        <v>-101.66252215776515</v>
      </c>
      <c r="N168" s="211">
        <f t="shared" si="49"/>
        <v>-2125.8925221577647</v>
      </c>
      <c r="O168" s="210">
        <v>0</v>
      </c>
      <c r="P168" s="210">
        <v>0</v>
      </c>
      <c r="Q168" s="210">
        <v>0</v>
      </c>
      <c r="R168" s="211">
        <f t="shared" si="50"/>
        <v>-2125.8925221577647</v>
      </c>
    </row>
    <row r="169" spans="1:19" x14ac:dyDescent="0.25">
      <c r="A169" s="163">
        <v>6</v>
      </c>
      <c r="B169" s="202">
        <f t="shared" si="46"/>
        <v>43617</v>
      </c>
      <c r="C169" s="226">
        <f t="shared" si="51"/>
        <v>43649</v>
      </c>
      <c r="D169" s="226">
        <f t="shared" si="51"/>
        <v>43664</v>
      </c>
      <c r="E169" s="234" t="s">
        <v>55</v>
      </c>
      <c r="F169" s="163">
        <v>9</v>
      </c>
      <c r="G169" s="205">
        <v>12</v>
      </c>
      <c r="H169" s="206">
        <f t="shared" si="44"/>
        <v>1696.78</v>
      </c>
      <c r="I169" s="206">
        <f t="shared" si="45"/>
        <v>1541.07</v>
      </c>
      <c r="J169" s="207">
        <f t="shared" si="47"/>
        <v>18492.84</v>
      </c>
      <c r="K169" s="208">
        <f t="shared" si="41"/>
        <v>20361.36</v>
      </c>
      <c r="L169" s="213">
        <f t="shared" si="53"/>
        <v>-1868.5200000000004</v>
      </c>
      <c r="M169" s="210">
        <f t="shared" si="48"/>
        <v>-93.842328145629381</v>
      </c>
      <c r="N169" s="211">
        <f t="shared" si="49"/>
        <v>-1962.3623281456298</v>
      </c>
      <c r="O169" s="210">
        <v>0</v>
      </c>
      <c r="P169" s="210">
        <v>0</v>
      </c>
      <c r="Q169" s="210">
        <v>0</v>
      </c>
      <c r="R169" s="211">
        <f t="shared" si="50"/>
        <v>-1962.3623281456298</v>
      </c>
    </row>
    <row r="170" spans="1:19" x14ac:dyDescent="0.25">
      <c r="A170" s="125">
        <v>7</v>
      </c>
      <c r="B170" s="202">
        <f t="shared" si="46"/>
        <v>43647</v>
      </c>
      <c r="C170" s="226">
        <f t="shared" si="51"/>
        <v>43682</v>
      </c>
      <c r="D170" s="226">
        <f t="shared" si="51"/>
        <v>43697</v>
      </c>
      <c r="E170" s="234" t="s">
        <v>55</v>
      </c>
      <c r="F170" s="163">
        <v>9</v>
      </c>
      <c r="G170" s="205">
        <v>14</v>
      </c>
      <c r="H170" s="206">
        <f t="shared" si="44"/>
        <v>1696.78</v>
      </c>
      <c r="I170" s="206">
        <f t="shared" si="45"/>
        <v>1541.07</v>
      </c>
      <c r="J170" s="207">
        <f t="shared" si="47"/>
        <v>21574.98</v>
      </c>
      <c r="K170" s="214">
        <f t="shared" si="41"/>
        <v>23754.92</v>
      </c>
      <c r="L170" s="213">
        <f t="shared" si="53"/>
        <v>-2179.9399999999987</v>
      </c>
      <c r="M170" s="210">
        <f t="shared" si="48"/>
        <v>-109.48271616990095</v>
      </c>
      <c r="N170" s="211">
        <f t="shared" si="49"/>
        <v>-2289.4227161698996</v>
      </c>
      <c r="O170" s="210">
        <v>0</v>
      </c>
      <c r="P170" s="210">
        <v>0</v>
      </c>
      <c r="Q170" s="210">
        <v>0</v>
      </c>
      <c r="R170" s="211">
        <f t="shared" si="50"/>
        <v>-2289.4227161698996</v>
      </c>
    </row>
    <row r="171" spans="1:19" x14ac:dyDescent="0.25">
      <c r="A171" s="163">
        <v>8</v>
      </c>
      <c r="B171" s="202">
        <f t="shared" si="46"/>
        <v>43678</v>
      </c>
      <c r="C171" s="226">
        <f t="shared" si="51"/>
        <v>43712</v>
      </c>
      <c r="D171" s="226">
        <f t="shared" si="51"/>
        <v>43727</v>
      </c>
      <c r="E171" s="234" t="s">
        <v>55</v>
      </c>
      <c r="F171" s="125">
        <v>9</v>
      </c>
      <c r="G171" s="205">
        <v>16</v>
      </c>
      <c r="H171" s="206">
        <f t="shared" si="44"/>
        <v>1696.78</v>
      </c>
      <c r="I171" s="206">
        <f t="shared" si="45"/>
        <v>1541.07</v>
      </c>
      <c r="J171" s="207">
        <f t="shared" si="47"/>
        <v>24657.119999999999</v>
      </c>
      <c r="K171" s="214">
        <f t="shared" si="41"/>
        <v>27148.48</v>
      </c>
      <c r="L171" s="213">
        <f t="shared" si="53"/>
        <v>-2491.3600000000006</v>
      </c>
      <c r="M171" s="210">
        <f t="shared" si="48"/>
        <v>-125.1231041941725</v>
      </c>
      <c r="N171" s="211">
        <f t="shared" si="49"/>
        <v>-2616.4831041941729</v>
      </c>
      <c r="O171" s="210">
        <v>0</v>
      </c>
      <c r="P171" s="210">
        <v>0</v>
      </c>
      <c r="Q171" s="210">
        <v>0</v>
      </c>
      <c r="R171" s="211">
        <f t="shared" si="50"/>
        <v>-2616.4831041941729</v>
      </c>
      <c r="S171" s="52"/>
    </row>
    <row r="172" spans="1:19" x14ac:dyDescent="0.25">
      <c r="A172" s="163">
        <v>9</v>
      </c>
      <c r="B172" s="202">
        <f t="shared" si="46"/>
        <v>43709</v>
      </c>
      <c r="C172" s="226">
        <f t="shared" ref="C172:D175" si="54">+C160</f>
        <v>43741</v>
      </c>
      <c r="D172" s="226">
        <f t="shared" si="54"/>
        <v>43756</v>
      </c>
      <c r="E172" s="234" t="s">
        <v>55</v>
      </c>
      <c r="F172" s="125">
        <v>9</v>
      </c>
      <c r="G172" s="205">
        <v>13</v>
      </c>
      <c r="H172" s="206">
        <f t="shared" si="44"/>
        <v>1696.78</v>
      </c>
      <c r="I172" s="206">
        <f t="shared" si="45"/>
        <v>1541.07</v>
      </c>
      <c r="J172" s="207">
        <f t="shared" si="47"/>
        <v>20033.91</v>
      </c>
      <c r="K172" s="214">
        <f t="shared" si="41"/>
        <v>22058.14</v>
      </c>
      <c r="L172" s="213">
        <f t="shared" si="53"/>
        <v>-2024.2299999999996</v>
      </c>
      <c r="M172" s="210">
        <f t="shared" si="48"/>
        <v>-101.66252215776515</v>
      </c>
      <c r="N172" s="211">
        <f t="shared" si="49"/>
        <v>-2125.8925221577647</v>
      </c>
      <c r="O172" s="210">
        <v>0</v>
      </c>
      <c r="P172" s="210">
        <v>0</v>
      </c>
      <c r="Q172" s="210">
        <v>0</v>
      </c>
      <c r="R172" s="211">
        <f t="shared" si="50"/>
        <v>-2125.8925221577647</v>
      </c>
    </row>
    <row r="173" spans="1:19" x14ac:dyDescent="0.25">
      <c r="A173" s="125">
        <v>10</v>
      </c>
      <c r="B173" s="202">
        <f t="shared" si="46"/>
        <v>43739</v>
      </c>
      <c r="C173" s="226">
        <f t="shared" si="54"/>
        <v>43774</v>
      </c>
      <c r="D173" s="226">
        <f t="shared" si="54"/>
        <v>43789</v>
      </c>
      <c r="E173" s="234" t="s">
        <v>55</v>
      </c>
      <c r="F173" s="125">
        <v>9</v>
      </c>
      <c r="G173" s="205">
        <v>12</v>
      </c>
      <c r="H173" s="206">
        <f t="shared" si="44"/>
        <v>1696.78</v>
      </c>
      <c r="I173" s="206">
        <f t="shared" si="45"/>
        <v>1541.07</v>
      </c>
      <c r="J173" s="207">
        <f t="shared" si="47"/>
        <v>18492.84</v>
      </c>
      <c r="K173" s="214">
        <f t="shared" si="41"/>
        <v>20361.36</v>
      </c>
      <c r="L173" s="213">
        <f t="shared" si="53"/>
        <v>-1868.5200000000004</v>
      </c>
      <c r="M173" s="210">
        <f t="shared" si="48"/>
        <v>-93.842328145629381</v>
      </c>
      <c r="N173" s="211">
        <f t="shared" si="49"/>
        <v>-1962.3623281456298</v>
      </c>
      <c r="O173" s="210">
        <v>0</v>
      </c>
      <c r="P173" s="210">
        <v>0</v>
      </c>
      <c r="Q173" s="210">
        <v>0</v>
      </c>
      <c r="R173" s="211">
        <f t="shared" si="50"/>
        <v>-1962.3623281456298</v>
      </c>
    </row>
    <row r="174" spans="1:19" x14ac:dyDescent="0.25">
      <c r="A174" s="163">
        <v>11</v>
      </c>
      <c r="B174" s="202">
        <f t="shared" si="46"/>
        <v>43770</v>
      </c>
      <c r="C174" s="226">
        <f t="shared" si="54"/>
        <v>43803</v>
      </c>
      <c r="D174" s="226">
        <f t="shared" si="54"/>
        <v>43818</v>
      </c>
      <c r="E174" s="234" t="s">
        <v>55</v>
      </c>
      <c r="F174" s="125">
        <v>9</v>
      </c>
      <c r="G174" s="205">
        <v>9</v>
      </c>
      <c r="H174" s="206">
        <f t="shared" si="44"/>
        <v>1696.78</v>
      </c>
      <c r="I174" s="206">
        <f t="shared" si="45"/>
        <v>1541.07</v>
      </c>
      <c r="J174" s="207">
        <f t="shared" si="47"/>
        <v>13869.63</v>
      </c>
      <c r="K174" s="214">
        <f t="shared" si="41"/>
        <v>15271.02</v>
      </c>
      <c r="L174" s="213">
        <f t="shared" si="53"/>
        <v>-1401.3900000000012</v>
      </c>
      <c r="M174" s="210">
        <f t="shared" si="48"/>
        <v>-70.381746109222036</v>
      </c>
      <c r="N174" s="211">
        <f t="shared" si="49"/>
        <v>-1471.7717461092234</v>
      </c>
      <c r="O174" s="210">
        <v>0</v>
      </c>
      <c r="P174" s="210">
        <v>0</v>
      </c>
      <c r="Q174" s="210">
        <v>0</v>
      </c>
      <c r="R174" s="211">
        <f t="shared" si="50"/>
        <v>-1471.7717461092234</v>
      </c>
    </row>
    <row r="175" spans="1:19" s="230" customFormat="1" x14ac:dyDescent="0.25">
      <c r="A175" s="163">
        <v>12</v>
      </c>
      <c r="B175" s="228">
        <f t="shared" si="46"/>
        <v>43800</v>
      </c>
      <c r="C175" s="226">
        <f t="shared" si="54"/>
        <v>43833</v>
      </c>
      <c r="D175" s="226">
        <f t="shared" si="54"/>
        <v>43850</v>
      </c>
      <c r="E175" s="235" t="s">
        <v>55</v>
      </c>
      <c r="F175" s="174">
        <v>9</v>
      </c>
      <c r="G175" s="217">
        <v>10</v>
      </c>
      <c r="H175" s="206">
        <f t="shared" si="44"/>
        <v>1696.78</v>
      </c>
      <c r="I175" s="218">
        <f t="shared" si="45"/>
        <v>1541.07</v>
      </c>
      <c r="J175" s="219">
        <f t="shared" si="47"/>
        <v>15410.699999999999</v>
      </c>
      <c r="K175" s="220">
        <f t="shared" si="41"/>
        <v>16967.8</v>
      </c>
      <c r="L175" s="221">
        <f t="shared" si="53"/>
        <v>-1557.1000000000004</v>
      </c>
      <c r="M175" s="210">
        <f t="shared" si="48"/>
        <v>-78.201940121357808</v>
      </c>
      <c r="N175" s="211">
        <f t="shared" si="49"/>
        <v>-1635.3019401213583</v>
      </c>
      <c r="O175" s="210">
        <v>0</v>
      </c>
      <c r="P175" s="210">
        <v>0</v>
      </c>
      <c r="Q175" s="210">
        <v>0</v>
      </c>
      <c r="R175" s="211">
        <f t="shared" si="50"/>
        <v>-1635.3019401213583</v>
      </c>
    </row>
    <row r="176" spans="1:19" x14ac:dyDescent="0.25">
      <c r="A176" s="125">
        <v>1</v>
      </c>
      <c r="B176" s="202">
        <f t="shared" si="46"/>
        <v>43466</v>
      </c>
      <c r="C176" s="223">
        <f t="shared" ref="C176:D187" si="55">+C152</f>
        <v>43501</v>
      </c>
      <c r="D176" s="223">
        <f t="shared" si="55"/>
        <v>43516</v>
      </c>
      <c r="E176" s="233" t="s">
        <v>56</v>
      </c>
      <c r="F176" s="163">
        <v>9</v>
      </c>
      <c r="G176" s="205">
        <v>22</v>
      </c>
      <c r="H176" s="206">
        <f t="shared" si="44"/>
        <v>1696.78</v>
      </c>
      <c r="I176" s="206">
        <f t="shared" si="45"/>
        <v>1541.07</v>
      </c>
      <c r="J176" s="207">
        <f t="shared" si="47"/>
        <v>33903.54</v>
      </c>
      <c r="K176" s="208">
        <f t="shared" si="41"/>
        <v>37329.159999999996</v>
      </c>
      <c r="L176" s="209">
        <f t="shared" si="53"/>
        <v>-3425.6199999999953</v>
      </c>
      <c r="M176" s="210">
        <f t="shared" si="48"/>
        <v>-172.04426826698719</v>
      </c>
      <c r="N176" s="211">
        <f t="shared" si="49"/>
        <v>-3597.6642682669826</v>
      </c>
      <c r="O176" s="210">
        <v>0</v>
      </c>
      <c r="P176" s="210">
        <v>0</v>
      </c>
      <c r="Q176" s="210">
        <v>0</v>
      </c>
      <c r="R176" s="211">
        <f t="shared" si="50"/>
        <v>-3597.6642682669826</v>
      </c>
    </row>
    <row r="177" spans="1:18" x14ac:dyDescent="0.25">
      <c r="A177" s="163">
        <v>2</v>
      </c>
      <c r="B177" s="202">
        <f t="shared" si="46"/>
        <v>43497</v>
      </c>
      <c r="C177" s="226">
        <f t="shared" si="55"/>
        <v>43529</v>
      </c>
      <c r="D177" s="226">
        <f t="shared" si="55"/>
        <v>43544</v>
      </c>
      <c r="E177" s="54" t="s">
        <v>56</v>
      </c>
      <c r="F177" s="163">
        <v>9</v>
      </c>
      <c r="G177" s="205">
        <v>20</v>
      </c>
      <c r="H177" s="206">
        <f t="shared" si="44"/>
        <v>1696.78</v>
      </c>
      <c r="I177" s="206">
        <f t="shared" si="45"/>
        <v>1541.07</v>
      </c>
      <c r="J177" s="207">
        <f t="shared" si="47"/>
        <v>30821.399999999998</v>
      </c>
      <c r="K177" s="208">
        <f t="shared" si="41"/>
        <v>33935.599999999999</v>
      </c>
      <c r="L177" s="209">
        <f t="shared" si="53"/>
        <v>-3114.2000000000007</v>
      </c>
      <c r="M177" s="210">
        <f t="shared" si="48"/>
        <v>-156.40388024271562</v>
      </c>
      <c r="N177" s="211">
        <f t="shared" si="49"/>
        <v>-3270.6038802427165</v>
      </c>
      <c r="O177" s="210">
        <v>0</v>
      </c>
      <c r="P177" s="210">
        <v>0</v>
      </c>
      <c r="Q177" s="210">
        <v>0</v>
      </c>
      <c r="R177" s="211">
        <f t="shared" si="50"/>
        <v>-3270.6038802427165</v>
      </c>
    </row>
    <row r="178" spans="1:18" x14ac:dyDescent="0.25">
      <c r="A178" s="163">
        <v>3</v>
      </c>
      <c r="B178" s="202">
        <f t="shared" si="46"/>
        <v>43525</v>
      </c>
      <c r="C178" s="226">
        <f t="shared" si="55"/>
        <v>43558</v>
      </c>
      <c r="D178" s="226">
        <f t="shared" si="55"/>
        <v>43573</v>
      </c>
      <c r="E178" s="54" t="s">
        <v>56</v>
      </c>
      <c r="F178" s="163">
        <v>9</v>
      </c>
      <c r="G178" s="205">
        <v>21</v>
      </c>
      <c r="H178" s="206">
        <f t="shared" si="44"/>
        <v>1696.78</v>
      </c>
      <c r="I178" s="206">
        <f t="shared" si="45"/>
        <v>1541.07</v>
      </c>
      <c r="J178" s="207">
        <f t="shared" si="47"/>
        <v>32362.469999999998</v>
      </c>
      <c r="K178" s="208">
        <f t="shared" si="41"/>
        <v>35632.379999999997</v>
      </c>
      <c r="L178" s="209">
        <f>+J178-K178</f>
        <v>-3269.91</v>
      </c>
      <c r="M178" s="210">
        <f t="shared" si="48"/>
        <v>-164.22407425485139</v>
      </c>
      <c r="N178" s="211">
        <f t="shared" si="49"/>
        <v>-3434.1340742548514</v>
      </c>
      <c r="O178" s="210">
        <v>0</v>
      </c>
      <c r="P178" s="210">
        <v>0</v>
      </c>
      <c r="Q178" s="210">
        <v>0</v>
      </c>
      <c r="R178" s="211">
        <f t="shared" si="50"/>
        <v>-3434.1340742548514</v>
      </c>
    </row>
    <row r="179" spans="1:18" x14ac:dyDescent="0.25">
      <c r="A179" s="125">
        <v>4</v>
      </c>
      <c r="B179" s="202">
        <f t="shared" si="46"/>
        <v>43556</v>
      </c>
      <c r="C179" s="226">
        <f t="shared" si="55"/>
        <v>43588</v>
      </c>
      <c r="D179" s="226">
        <f t="shared" si="55"/>
        <v>43605</v>
      </c>
      <c r="E179" s="54" t="s">
        <v>56</v>
      </c>
      <c r="F179" s="163">
        <v>9</v>
      </c>
      <c r="G179" s="205">
        <v>21</v>
      </c>
      <c r="H179" s="206">
        <f t="shared" si="44"/>
        <v>1696.78</v>
      </c>
      <c r="I179" s="206">
        <f t="shared" si="45"/>
        <v>1541.07</v>
      </c>
      <c r="J179" s="207">
        <f t="shared" si="47"/>
        <v>32362.469999999998</v>
      </c>
      <c r="K179" s="208">
        <f t="shared" si="41"/>
        <v>35632.379999999997</v>
      </c>
      <c r="L179" s="209">
        <f t="shared" ref="L179:L189" si="56">+J179-K179</f>
        <v>-3269.91</v>
      </c>
      <c r="M179" s="210">
        <f t="shared" si="48"/>
        <v>-164.22407425485139</v>
      </c>
      <c r="N179" s="211">
        <f t="shared" si="49"/>
        <v>-3434.1340742548514</v>
      </c>
      <c r="O179" s="210">
        <v>0</v>
      </c>
      <c r="P179" s="210">
        <v>0</v>
      </c>
      <c r="Q179" s="210">
        <v>0</v>
      </c>
      <c r="R179" s="211">
        <f t="shared" si="50"/>
        <v>-3434.1340742548514</v>
      </c>
    </row>
    <row r="180" spans="1:18" x14ac:dyDescent="0.25">
      <c r="A180" s="163">
        <v>5</v>
      </c>
      <c r="B180" s="202">
        <f t="shared" si="46"/>
        <v>43586</v>
      </c>
      <c r="C180" s="226">
        <f t="shared" si="55"/>
        <v>43621</v>
      </c>
      <c r="D180" s="226">
        <f t="shared" si="55"/>
        <v>43636</v>
      </c>
      <c r="E180" s="54" t="s">
        <v>56</v>
      </c>
      <c r="F180" s="163">
        <v>9</v>
      </c>
      <c r="G180" s="205">
        <v>30</v>
      </c>
      <c r="H180" s="206">
        <f t="shared" si="44"/>
        <v>1696.78</v>
      </c>
      <c r="I180" s="206">
        <f t="shared" ref="I180:I211" si="57">$J$3</f>
        <v>1541.07</v>
      </c>
      <c r="J180" s="207">
        <f t="shared" si="47"/>
        <v>46232.1</v>
      </c>
      <c r="K180" s="208">
        <f t="shared" si="41"/>
        <v>50903.4</v>
      </c>
      <c r="L180" s="209">
        <f t="shared" si="56"/>
        <v>-4671.3000000000029</v>
      </c>
      <c r="M180" s="210">
        <f t="shared" si="48"/>
        <v>-234.60582036407345</v>
      </c>
      <c r="N180" s="211">
        <f t="shared" si="49"/>
        <v>-4905.9058203640761</v>
      </c>
      <c r="O180" s="210">
        <v>0</v>
      </c>
      <c r="P180" s="210">
        <v>0</v>
      </c>
      <c r="Q180" s="210">
        <v>0</v>
      </c>
      <c r="R180" s="211">
        <f t="shared" si="50"/>
        <v>-4905.9058203640761</v>
      </c>
    </row>
    <row r="181" spans="1:18" x14ac:dyDescent="0.25">
      <c r="A181" s="163">
        <v>6</v>
      </c>
      <c r="B181" s="202">
        <f t="shared" si="46"/>
        <v>43617</v>
      </c>
      <c r="C181" s="226">
        <f t="shared" si="55"/>
        <v>43649</v>
      </c>
      <c r="D181" s="226">
        <f t="shared" si="55"/>
        <v>43664</v>
      </c>
      <c r="E181" s="54" t="s">
        <v>56</v>
      </c>
      <c r="F181" s="163">
        <v>9</v>
      </c>
      <c r="G181" s="205">
        <v>32</v>
      </c>
      <c r="H181" s="206">
        <f t="shared" si="44"/>
        <v>1696.78</v>
      </c>
      <c r="I181" s="206">
        <f t="shared" si="57"/>
        <v>1541.07</v>
      </c>
      <c r="J181" s="207">
        <f t="shared" si="47"/>
        <v>49314.239999999998</v>
      </c>
      <c r="K181" s="208">
        <f t="shared" si="41"/>
        <v>54296.959999999999</v>
      </c>
      <c r="L181" s="213">
        <f t="shared" si="56"/>
        <v>-4982.7200000000012</v>
      </c>
      <c r="M181" s="210">
        <f t="shared" si="48"/>
        <v>-250.246208388345</v>
      </c>
      <c r="N181" s="211">
        <f t="shared" si="49"/>
        <v>-5232.9662083883459</v>
      </c>
      <c r="O181" s="210">
        <v>0</v>
      </c>
      <c r="P181" s="210">
        <v>0</v>
      </c>
      <c r="Q181" s="210">
        <v>0</v>
      </c>
      <c r="R181" s="211">
        <f t="shared" si="50"/>
        <v>-5232.9662083883459</v>
      </c>
    </row>
    <row r="182" spans="1:18" x14ac:dyDescent="0.25">
      <c r="A182" s="125">
        <v>7</v>
      </c>
      <c r="B182" s="202">
        <f t="shared" si="46"/>
        <v>43647</v>
      </c>
      <c r="C182" s="226">
        <f t="shared" si="55"/>
        <v>43682</v>
      </c>
      <c r="D182" s="226">
        <f t="shared" si="55"/>
        <v>43697</v>
      </c>
      <c r="E182" s="54" t="s">
        <v>56</v>
      </c>
      <c r="F182" s="163">
        <v>9</v>
      </c>
      <c r="G182" s="205">
        <v>33</v>
      </c>
      <c r="H182" s="206">
        <f t="shared" si="44"/>
        <v>1696.78</v>
      </c>
      <c r="I182" s="206">
        <f t="shared" si="57"/>
        <v>1541.07</v>
      </c>
      <c r="J182" s="207">
        <f t="shared" si="47"/>
        <v>50855.31</v>
      </c>
      <c r="K182" s="214">
        <f t="shared" si="41"/>
        <v>55993.74</v>
      </c>
      <c r="L182" s="213">
        <f t="shared" si="56"/>
        <v>-5138.43</v>
      </c>
      <c r="M182" s="210">
        <f t="shared" si="48"/>
        <v>-258.0664024004808</v>
      </c>
      <c r="N182" s="211">
        <f t="shared" si="49"/>
        <v>-5396.4964024004812</v>
      </c>
      <c r="O182" s="210">
        <v>0</v>
      </c>
      <c r="P182" s="210">
        <v>0</v>
      </c>
      <c r="Q182" s="210">
        <v>0</v>
      </c>
      <c r="R182" s="211">
        <f t="shared" si="50"/>
        <v>-5396.4964024004812</v>
      </c>
    </row>
    <row r="183" spans="1:18" x14ac:dyDescent="0.25">
      <c r="A183" s="163">
        <v>8</v>
      </c>
      <c r="B183" s="202">
        <f t="shared" si="46"/>
        <v>43678</v>
      </c>
      <c r="C183" s="226">
        <f t="shared" si="55"/>
        <v>43712</v>
      </c>
      <c r="D183" s="226">
        <f t="shared" si="55"/>
        <v>43727</v>
      </c>
      <c r="E183" s="54" t="s">
        <v>56</v>
      </c>
      <c r="F183" s="163">
        <v>9</v>
      </c>
      <c r="G183" s="205">
        <v>36</v>
      </c>
      <c r="H183" s="206">
        <f t="shared" si="44"/>
        <v>1696.78</v>
      </c>
      <c r="I183" s="206">
        <f t="shared" si="57"/>
        <v>1541.07</v>
      </c>
      <c r="J183" s="207">
        <f t="shared" si="47"/>
        <v>55478.52</v>
      </c>
      <c r="K183" s="214">
        <f t="shared" si="41"/>
        <v>61084.08</v>
      </c>
      <c r="L183" s="213">
        <f t="shared" si="56"/>
        <v>-5605.5600000000049</v>
      </c>
      <c r="M183" s="210">
        <f t="shared" si="48"/>
        <v>-281.52698443688814</v>
      </c>
      <c r="N183" s="211">
        <f t="shared" si="49"/>
        <v>-5887.0869844368935</v>
      </c>
      <c r="O183" s="210">
        <v>0</v>
      </c>
      <c r="P183" s="210">
        <v>0</v>
      </c>
      <c r="Q183" s="210">
        <v>0</v>
      </c>
      <c r="R183" s="211">
        <f t="shared" si="50"/>
        <v>-5887.0869844368935</v>
      </c>
    </row>
    <row r="184" spans="1:18" x14ac:dyDescent="0.25">
      <c r="A184" s="163">
        <v>9</v>
      </c>
      <c r="B184" s="202">
        <f t="shared" si="46"/>
        <v>43709</v>
      </c>
      <c r="C184" s="226">
        <f t="shared" si="55"/>
        <v>43741</v>
      </c>
      <c r="D184" s="226">
        <f t="shared" si="55"/>
        <v>43756</v>
      </c>
      <c r="E184" s="54" t="s">
        <v>56</v>
      </c>
      <c r="F184" s="163">
        <v>9</v>
      </c>
      <c r="G184" s="205">
        <v>34</v>
      </c>
      <c r="H184" s="206">
        <f t="shared" si="44"/>
        <v>1696.78</v>
      </c>
      <c r="I184" s="206">
        <f t="shared" si="57"/>
        <v>1541.07</v>
      </c>
      <c r="J184" s="207">
        <f t="shared" si="47"/>
        <v>52396.38</v>
      </c>
      <c r="K184" s="214">
        <f t="shared" si="41"/>
        <v>57690.52</v>
      </c>
      <c r="L184" s="213">
        <f t="shared" si="56"/>
        <v>-5294.1399999999994</v>
      </c>
      <c r="M184" s="210">
        <f t="shared" si="48"/>
        <v>-265.8865964126166</v>
      </c>
      <c r="N184" s="211">
        <f t="shared" si="49"/>
        <v>-5560.0265964126156</v>
      </c>
      <c r="O184" s="210">
        <v>0</v>
      </c>
      <c r="P184" s="210">
        <v>0</v>
      </c>
      <c r="Q184" s="210">
        <v>0</v>
      </c>
      <c r="R184" s="211">
        <f t="shared" si="50"/>
        <v>-5560.0265964126156</v>
      </c>
    </row>
    <row r="185" spans="1:18" x14ac:dyDescent="0.25">
      <c r="A185" s="125">
        <v>10</v>
      </c>
      <c r="B185" s="202">
        <f t="shared" si="46"/>
        <v>43739</v>
      </c>
      <c r="C185" s="226">
        <f t="shared" si="55"/>
        <v>43774</v>
      </c>
      <c r="D185" s="226">
        <f t="shared" si="55"/>
        <v>43789</v>
      </c>
      <c r="E185" s="54" t="s">
        <v>56</v>
      </c>
      <c r="F185" s="163">
        <v>9</v>
      </c>
      <c r="G185" s="205">
        <v>34</v>
      </c>
      <c r="H185" s="206">
        <f t="shared" si="44"/>
        <v>1696.78</v>
      </c>
      <c r="I185" s="206">
        <f t="shared" si="57"/>
        <v>1541.07</v>
      </c>
      <c r="J185" s="207">
        <f t="shared" si="47"/>
        <v>52396.38</v>
      </c>
      <c r="K185" s="214">
        <f t="shared" si="41"/>
        <v>57690.52</v>
      </c>
      <c r="L185" s="213">
        <f t="shared" si="56"/>
        <v>-5294.1399999999994</v>
      </c>
      <c r="M185" s="210">
        <f t="shared" si="48"/>
        <v>-265.8865964126166</v>
      </c>
      <c r="N185" s="211">
        <f t="shared" si="49"/>
        <v>-5560.0265964126156</v>
      </c>
      <c r="O185" s="210">
        <v>0</v>
      </c>
      <c r="P185" s="210">
        <v>0</v>
      </c>
      <c r="Q185" s="210">
        <v>0</v>
      </c>
      <c r="R185" s="211">
        <f t="shared" si="50"/>
        <v>-5560.0265964126156</v>
      </c>
    </row>
    <row r="186" spans="1:18" x14ac:dyDescent="0.25">
      <c r="A186" s="163">
        <v>11</v>
      </c>
      <c r="B186" s="202">
        <f t="shared" si="46"/>
        <v>43770</v>
      </c>
      <c r="C186" s="226">
        <f t="shared" si="55"/>
        <v>43803</v>
      </c>
      <c r="D186" s="226">
        <f t="shared" si="55"/>
        <v>43818</v>
      </c>
      <c r="E186" s="54" t="s">
        <v>56</v>
      </c>
      <c r="F186" s="163">
        <v>9</v>
      </c>
      <c r="G186" s="205">
        <v>21</v>
      </c>
      <c r="H186" s="206">
        <f t="shared" si="44"/>
        <v>1696.78</v>
      </c>
      <c r="I186" s="206">
        <f t="shared" si="57"/>
        <v>1541.07</v>
      </c>
      <c r="J186" s="207">
        <f t="shared" si="47"/>
        <v>32362.469999999998</v>
      </c>
      <c r="K186" s="214">
        <f t="shared" si="41"/>
        <v>35632.379999999997</v>
      </c>
      <c r="L186" s="213">
        <f t="shared" si="56"/>
        <v>-3269.91</v>
      </c>
      <c r="M186" s="210">
        <f t="shared" si="48"/>
        <v>-164.22407425485139</v>
      </c>
      <c r="N186" s="211">
        <f t="shared" si="49"/>
        <v>-3434.1340742548514</v>
      </c>
      <c r="O186" s="210">
        <v>0</v>
      </c>
      <c r="P186" s="210">
        <v>0</v>
      </c>
      <c r="Q186" s="210">
        <v>0</v>
      </c>
      <c r="R186" s="211">
        <f t="shared" si="50"/>
        <v>-3434.1340742548514</v>
      </c>
    </row>
    <row r="187" spans="1:18" s="230" customFormat="1" x14ac:dyDescent="0.25">
      <c r="A187" s="163">
        <v>12</v>
      </c>
      <c r="B187" s="228">
        <f t="shared" si="46"/>
        <v>43800</v>
      </c>
      <c r="C187" s="226">
        <f t="shared" si="55"/>
        <v>43833</v>
      </c>
      <c r="D187" s="226">
        <f t="shared" si="55"/>
        <v>43850</v>
      </c>
      <c r="E187" s="229" t="s">
        <v>56</v>
      </c>
      <c r="F187" s="174">
        <v>9</v>
      </c>
      <c r="G187" s="217">
        <v>21</v>
      </c>
      <c r="H187" s="206">
        <f t="shared" si="44"/>
        <v>1696.78</v>
      </c>
      <c r="I187" s="218">
        <f t="shared" si="57"/>
        <v>1541.07</v>
      </c>
      <c r="J187" s="219">
        <f t="shared" si="47"/>
        <v>32362.469999999998</v>
      </c>
      <c r="K187" s="220">
        <f t="shared" si="41"/>
        <v>35632.379999999997</v>
      </c>
      <c r="L187" s="221">
        <f t="shared" si="56"/>
        <v>-3269.91</v>
      </c>
      <c r="M187" s="210">
        <f t="shared" si="48"/>
        <v>-164.22407425485139</v>
      </c>
      <c r="N187" s="211">
        <f t="shared" si="49"/>
        <v>-3434.1340742548514</v>
      </c>
      <c r="O187" s="210">
        <v>0</v>
      </c>
      <c r="P187" s="210">
        <v>0</v>
      </c>
      <c r="Q187" s="210">
        <v>0</v>
      </c>
      <c r="R187" s="211">
        <f t="shared" si="50"/>
        <v>-3434.1340742548514</v>
      </c>
    </row>
    <row r="188" spans="1:18" x14ac:dyDescent="0.25">
      <c r="A188" s="125">
        <v>1</v>
      </c>
      <c r="B188" s="202">
        <f t="shared" si="46"/>
        <v>43466</v>
      </c>
      <c r="C188" s="223">
        <f t="shared" ref="C188:D211" si="58">+C176</f>
        <v>43501</v>
      </c>
      <c r="D188" s="223">
        <f t="shared" si="58"/>
        <v>43516</v>
      </c>
      <c r="E188" s="204" t="s">
        <v>57</v>
      </c>
      <c r="F188" s="125">
        <v>9</v>
      </c>
      <c r="G188" s="205">
        <v>43</v>
      </c>
      <c r="H188" s="206">
        <f t="shared" si="44"/>
        <v>1696.78</v>
      </c>
      <c r="I188" s="206">
        <f t="shared" si="57"/>
        <v>1541.07</v>
      </c>
      <c r="J188" s="207">
        <f t="shared" si="47"/>
        <v>66266.009999999995</v>
      </c>
      <c r="K188" s="208">
        <f t="shared" si="41"/>
        <v>72961.539999999994</v>
      </c>
      <c r="L188" s="209">
        <f t="shared" si="56"/>
        <v>-6695.5299999999988</v>
      </c>
      <c r="M188" s="210">
        <f t="shared" si="48"/>
        <v>-336.26834252183863</v>
      </c>
      <c r="N188" s="211">
        <f t="shared" si="49"/>
        <v>-7031.7983425218372</v>
      </c>
      <c r="O188" s="210">
        <v>0</v>
      </c>
      <c r="P188" s="210">
        <v>0</v>
      </c>
      <c r="Q188" s="210">
        <v>0</v>
      </c>
      <c r="R188" s="211">
        <f t="shared" si="50"/>
        <v>-7031.7983425218372</v>
      </c>
    </row>
    <row r="189" spans="1:18" x14ac:dyDescent="0.25">
      <c r="A189" s="163">
        <v>2</v>
      </c>
      <c r="B189" s="202">
        <f t="shared" si="46"/>
        <v>43497</v>
      </c>
      <c r="C189" s="226">
        <f t="shared" si="58"/>
        <v>43529</v>
      </c>
      <c r="D189" s="226">
        <f t="shared" si="58"/>
        <v>43544</v>
      </c>
      <c r="E189" s="212" t="s">
        <v>57</v>
      </c>
      <c r="F189" s="163">
        <v>9</v>
      </c>
      <c r="G189" s="205">
        <v>42</v>
      </c>
      <c r="H189" s="206">
        <f t="shared" si="44"/>
        <v>1696.78</v>
      </c>
      <c r="I189" s="206">
        <f t="shared" si="57"/>
        <v>1541.07</v>
      </c>
      <c r="J189" s="207">
        <f t="shared" si="47"/>
        <v>64724.939999999995</v>
      </c>
      <c r="K189" s="208">
        <f t="shared" si="41"/>
        <v>71264.759999999995</v>
      </c>
      <c r="L189" s="209">
        <f t="shared" si="56"/>
        <v>-6539.82</v>
      </c>
      <c r="M189" s="210">
        <f t="shared" si="48"/>
        <v>-328.44814850970278</v>
      </c>
      <c r="N189" s="211">
        <f t="shared" si="49"/>
        <v>-6868.2681485097028</v>
      </c>
      <c r="O189" s="210">
        <v>0</v>
      </c>
      <c r="P189" s="210">
        <v>0</v>
      </c>
      <c r="Q189" s="210">
        <v>0</v>
      </c>
      <c r="R189" s="211">
        <f t="shared" si="50"/>
        <v>-6868.2681485097028</v>
      </c>
    </row>
    <row r="190" spans="1:18" x14ac:dyDescent="0.25">
      <c r="A190" s="163">
        <v>3</v>
      </c>
      <c r="B190" s="202">
        <f t="shared" si="46"/>
        <v>43525</v>
      </c>
      <c r="C190" s="226">
        <f t="shared" si="58"/>
        <v>43558</v>
      </c>
      <c r="D190" s="226">
        <f t="shared" si="58"/>
        <v>43573</v>
      </c>
      <c r="E190" s="212" t="s">
        <v>57</v>
      </c>
      <c r="F190" s="163">
        <v>9</v>
      </c>
      <c r="G190" s="205">
        <v>42</v>
      </c>
      <c r="H190" s="206">
        <f t="shared" si="44"/>
        <v>1696.78</v>
      </c>
      <c r="I190" s="206">
        <f t="shared" si="57"/>
        <v>1541.07</v>
      </c>
      <c r="J190" s="207">
        <f t="shared" si="47"/>
        <v>64724.939999999995</v>
      </c>
      <c r="K190" s="208">
        <f t="shared" si="41"/>
        <v>71264.759999999995</v>
      </c>
      <c r="L190" s="209">
        <f>+J190-K190</f>
        <v>-6539.82</v>
      </c>
      <c r="M190" s="210">
        <f t="shared" si="48"/>
        <v>-328.44814850970278</v>
      </c>
      <c r="N190" s="211">
        <f t="shared" si="49"/>
        <v>-6868.2681485097028</v>
      </c>
      <c r="O190" s="210">
        <v>0</v>
      </c>
      <c r="P190" s="210">
        <v>0</v>
      </c>
      <c r="Q190" s="210">
        <v>0</v>
      </c>
      <c r="R190" s="211">
        <f t="shared" si="50"/>
        <v>-6868.2681485097028</v>
      </c>
    </row>
    <row r="191" spans="1:18" x14ac:dyDescent="0.25">
      <c r="A191" s="125">
        <v>4</v>
      </c>
      <c r="B191" s="202">
        <f t="shared" si="46"/>
        <v>43556</v>
      </c>
      <c r="C191" s="226">
        <f t="shared" si="58"/>
        <v>43588</v>
      </c>
      <c r="D191" s="226">
        <f t="shared" si="58"/>
        <v>43605</v>
      </c>
      <c r="E191" s="54" t="s">
        <v>57</v>
      </c>
      <c r="F191" s="163">
        <v>9</v>
      </c>
      <c r="G191" s="205">
        <v>39</v>
      </c>
      <c r="H191" s="206">
        <f t="shared" si="44"/>
        <v>1696.78</v>
      </c>
      <c r="I191" s="206">
        <f t="shared" si="57"/>
        <v>1541.07</v>
      </c>
      <c r="J191" s="207">
        <f t="shared" si="47"/>
        <v>60101.729999999996</v>
      </c>
      <c r="K191" s="208">
        <f t="shared" si="41"/>
        <v>66174.42</v>
      </c>
      <c r="L191" s="209">
        <f t="shared" ref="L191:L201" si="59">+J191-K191</f>
        <v>-6072.6900000000023</v>
      </c>
      <c r="M191" s="210">
        <f t="shared" si="48"/>
        <v>-304.98756647329549</v>
      </c>
      <c r="N191" s="211">
        <f t="shared" si="49"/>
        <v>-6377.6775664732977</v>
      </c>
      <c r="O191" s="210">
        <v>0</v>
      </c>
      <c r="P191" s="210">
        <v>0</v>
      </c>
      <c r="Q191" s="210">
        <v>0</v>
      </c>
      <c r="R191" s="211">
        <f t="shared" si="50"/>
        <v>-6377.6775664732977</v>
      </c>
    </row>
    <row r="192" spans="1:18" x14ac:dyDescent="0.25">
      <c r="A192" s="163">
        <v>5</v>
      </c>
      <c r="B192" s="202">
        <f t="shared" si="46"/>
        <v>43586</v>
      </c>
      <c r="C192" s="226">
        <f t="shared" si="58"/>
        <v>43621</v>
      </c>
      <c r="D192" s="226">
        <f t="shared" si="58"/>
        <v>43636</v>
      </c>
      <c r="E192" s="54" t="s">
        <v>57</v>
      </c>
      <c r="F192" s="163">
        <v>9</v>
      </c>
      <c r="G192" s="205">
        <v>49</v>
      </c>
      <c r="H192" s="206">
        <f t="shared" si="44"/>
        <v>1696.78</v>
      </c>
      <c r="I192" s="206">
        <f t="shared" si="57"/>
        <v>1541.07</v>
      </c>
      <c r="J192" s="207">
        <f t="shared" si="47"/>
        <v>75512.429999999993</v>
      </c>
      <c r="K192" s="208">
        <f t="shared" si="41"/>
        <v>83142.22</v>
      </c>
      <c r="L192" s="209">
        <f t="shared" si="59"/>
        <v>-7629.7900000000081</v>
      </c>
      <c r="M192" s="210">
        <f t="shared" si="48"/>
        <v>-383.18950659465327</v>
      </c>
      <c r="N192" s="211">
        <f t="shared" si="49"/>
        <v>-8012.9795065946619</v>
      </c>
      <c r="O192" s="210">
        <v>0</v>
      </c>
      <c r="P192" s="210">
        <v>0</v>
      </c>
      <c r="Q192" s="210">
        <v>0</v>
      </c>
      <c r="R192" s="211">
        <f t="shared" si="50"/>
        <v>-8012.9795065946619</v>
      </c>
    </row>
    <row r="193" spans="1:18" x14ac:dyDescent="0.25">
      <c r="A193" s="163">
        <v>6</v>
      </c>
      <c r="B193" s="202">
        <f t="shared" si="46"/>
        <v>43617</v>
      </c>
      <c r="C193" s="226">
        <f t="shared" si="58"/>
        <v>43649</v>
      </c>
      <c r="D193" s="226">
        <f t="shared" si="58"/>
        <v>43664</v>
      </c>
      <c r="E193" s="54" t="s">
        <v>57</v>
      </c>
      <c r="F193" s="163">
        <v>9</v>
      </c>
      <c r="G193" s="205">
        <v>52</v>
      </c>
      <c r="H193" s="206">
        <f t="shared" si="44"/>
        <v>1696.78</v>
      </c>
      <c r="I193" s="206">
        <f t="shared" si="57"/>
        <v>1541.07</v>
      </c>
      <c r="J193" s="207">
        <f t="shared" si="47"/>
        <v>80135.64</v>
      </c>
      <c r="K193" s="208">
        <f t="shared" si="41"/>
        <v>88232.56</v>
      </c>
      <c r="L193" s="213">
        <f t="shared" si="59"/>
        <v>-8096.9199999999983</v>
      </c>
      <c r="M193" s="210">
        <f t="shared" si="48"/>
        <v>-406.65008863106061</v>
      </c>
      <c r="N193" s="211">
        <f t="shared" si="49"/>
        <v>-8503.5700886310588</v>
      </c>
      <c r="O193" s="210">
        <v>0</v>
      </c>
      <c r="P193" s="210">
        <v>0</v>
      </c>
      <c r="Q193" s="210">
        <v>0</v>
      </c>
      <c r="R193" s="211">
        <f t="shared" si="50"/>
        <v>-8503.5700886310588</v>
      </c>
    </row>
    <row r="194" spans="1:18" x14ac:dyDescent="0.25">
      <c r="A194" s="125">
        <v>7</v>
      </c>
      <c r="B194" s="202">
        <f t="shared" si="46"/>
        <v>43647</v>
      </c>
      <c r="C194" s="226">
        <f t="shared" si="58"/>
        <v>43682</v>
      </c>
      <c r="D194" s="226">
        <f t="shared" si="58"/>
        <v>43697</v>
      </c>
      <c r="E194" s="54" t="s">
        <v>57</v>
      </c>
      <c r="F194" s="163">
        <v>9</v>
      </c>
      <c r="G194" s="205">
        <v>53</v>
      </c>
      <c r="H194" s="206">
        <f t="shared" si="44"/>
        <v>1696.78</v>
      </c>
      <c r="I194" s="206">
        <f t="shared" si="57"/>
        <v>1541.07</v>
      </c>
      <c r="J194" s="207">
        <f t="shared" si="47"/>
        <v>81676.709999999992</v>
      </c>
      <c r="K194" s="214">
        <f t="shared" si="41"/>
        <v>89929.34</v>
      </c>
      <c r="L194" s="213">
        <f t="shared" si="59"/>
        <v>-8252.6300000000047</v>
      </c>
      <c r="M194" s="210">
        <f t="shared" si="48"/>
        <v>-414.47028264319641</v>
      </c>
      <c r="N194" s="211">
        <f t="shared" si="49"/>
        <v>-8667.1002826432014</v>
      </c>
      <c r="O194" s="210">
        <v>0</v>
      </c>
      <c r="P194" s="210">
        <v>0</v>
      </c>
      <c r="Q194" s="210">
        <v>0</v>
      </c>
      <c r="R194" s="211">
        <f t="shared" si="50"/>
        <v>-8667.1002826432014</v>
      </c>
    </row>
    <row r="195" spans="1:18" x14ac:dyDescent="0.25">
      <c r="A195" s="163">
        <v>8</v>
      </c>
      <c r="B195" s="202">
        <f t="shared" si="46"/>
        <v>43678</v>
      </c>
      <c r="C195" s="226">
        <f t="shared" si="58"/>
        <v>43712</v>
      </c>
      <c r="D195" s="226">
        <f t="shared" si="58"/>
        <v>43727</v>
      </c>
      <c r="E195" s="54" t="s">
        <v>57</v>
      </c>
      <c r="F195" s="163">
        <v>9</v>
      </c>
      <c r="G195" s="205">
        <v>53</v>
      </c>
      <c r="H195" s="206">
        <f t="shared" si="44"/>
        <v>1696.78</v>
      </c>
      <c r="I195" s="206">
        <f t="shared" si="57"/>
        <v>1541.07</v>
      </c>
      <c r="J195" s="207">
        <f t="shared" si="47"/>
        <v>81676.709999999992</v>
      </c>
      <c r="K195" s="214">
        <f t="shared" si="41"/>
        <v>89929.34</v>
      </c>
      <c r="L195" s="213">
        <f t="shared" si="59"/>
        <v>-8252.6300000000047</v>
      </c>
      <c r="M195" s="210">
        <f t="shared" si="48"/>
        <v>-414.47028264319641</v>
      </c>
      <c r="N195" s="211">
        <f t="shared" si="49"/>
        <v>-8667.1002826432014</v>
      </c>
      <c r="O195" s="210">
        <v>0</v>
      </c>
      <c r="P195" s="210">
        <v>0</v>
      </c>
      <c r="Q195" s="210">
        <v>0</v>
      </c>
      <c r="R195" s="211">
        <f t="shared" si="50"/>
        <v>-8667.1002826432014</v>
      </c>
    </row>
    <row r="196" spans="1:18" x14ac:dyDescent="0.25">
      <c r="A196" s="163">
        <v>9</v>
      </c>
      <c r="B196" s="202">
        <f t="shared" si="46"/>
        <v>43709</v>
      </c>
      <c r="C196" s="226">
        <f t="shared" si="58"/>
        <v>43741</v>
      </c>
      <c r="D196" s="226">
        <f t="shared" si="58"/>
        <v>43756</v>
      </c>
      <c r="E196" s="54" t="s">
        <v>57</v>
      </c>
      <c r="F196" s="163">
        <v>9</v>
      </c>
      <c r="G196" s="205">
        <v>49</v>
      </c>
      <c r="H196" s="206">
        <f t="shared" si="44"/>
        <v>1696.78</v>
      </c>
      <c r="I196" s="206">
        <f t="shared" si="57"/>
        <v>1541.07</v>
      </c>
      <c r="J196" s="207">
        <f t="shared" si="47"/>
        <v>75512.429999999993</v>
      </c>
      <c r="K196" s="214">
        <f t="shared" si="41"/>
        <v>83142.22</v>
      </c>
      <c r="L196" s="213">
        <f t="shared" si="59"/>
        <v>-7629.7900000000081</v>
      </c>
      <c r="M196" s="210">
        <f t="shared" si="48"/>
        <v>-383.18950659465327</v>
      </c>
      <c r="N196" s="211">
        <f t="shared" si="49"/>
        <v>-8012.9795065946619</v>
      </c>
      <c r="O196" s="210">
        <v>0</v>
      </c>
      <c r="P196" s="210">
        <v>0</v>
      </c>
      <c r="Q196" s="210">
        <v>0</v>
      </c>
      <c r="R196" s="211">
        <f t="shared" si="50"/>
        <v>-8012.9795065946619</v>
      </c>
    </row>
    <row r="197" spans="1:18" x14ac:dyDescent="0.25">
      <c r="A197" s="125">
        <v>10</v>
      </c>
      <c r="B197" s="202">
        <f t="shared" si="46"/>
        <v>43739</v>
      </c>
      <c r="C197" s="226">
        <f t="shared" si="58"/>
        <v>43774</v>
      </c>
      <c r="D197" s="226">
        <f t="shared" si="58"/>
        <v>43789</v>
      </c>
      <c r="E197" s="54" t="s">
        <v>57</v>
      </c>
      <c r="F197" s="163">
        <v>9</v>
      </c>
      <c r="G197" s="205">
        <v>49</v>
      </c>
      <c r="H197" s="206">
        <f t="shared" si="44"/>
        <v>1696.78</v>
      </c>
      <c r="I197" s="206">
        <f t="shared" si="57"/>
        <v>1541.07</v>
      </c>
      <c r="J197" s="207">
        <f t="shared" si="47"/>
        <v>75512.429999999993</v>
      </c>
      <c r="K197" s="214">
        <f t="shared" si="41"/>
        <v>83142.22</v>
      </c>
      <c r="L197" s="213">
        <f t="shared" si="59"/>
        <v>-7629.7900000000081</v>
      </c>
      <c r="M197" s="210">
        <f t="shared" si="48"/>
        <v>-383.18950659465327</v>
      </c>
      <c r="N197" s="211">
        <f t="shared" si="49"/>
        <v>-8012.9795065946619</v>
      </c>
      <c r="O197" s="210">
        <v>0</v>
      </c>
      <c r="P197" s="210">
        <v>0</v>
      </c>
      <c r="Q197" s="210">
        <v>0</v>
      </c>
      <c r="R197" s="211">
        <f t="shared" si="50"/>
        <v>-8012.9795065946619</v>
      </c>
    </row>
    <row r="198" spans="1:18" x14ac:dyDescent="0.25">
      <c r="A198" s="163">
        <v>11</v>
      </c>
      <c r="B198" s="202">
        <f t="shared" si="46"/>
        <v>43770</v>
      </c>
      <c r="C198" s="226">
        <f t="shared" si="58"/>
        <v>43803</v>
      </c>
      <c r="D198" s="226">
        <f t="shared" si="58"/>
        <v>43818</v>
      </c>
      <c r="E198" s="54" t="s">
        <v>57</v>
      </c>
      <c r="F198" s="163">
        <v>9</v>
      </c>
      <c r="G198" s="205">
        <v>35</v>
      </c>
      <c r="H198" s="206">
        <f t="shared" si="44"/>
        <v>1696.78</v>
      </c>
      <c r="I198" s="206">
        <f t="shared" si="57"/>
        <v>1541.07</v>
      </c>
      <c r="J198" s="207">
        <f t="shared" si="47"/>
        <v>53937.45</v>
      </c>
      <c r="K198" s="214">
        <f t="shared" ref="K198:K209" si="60">+$G198*H198</f>
        <v>59387.299999999996</v>
      </c>
      <c r="L198" s="213">
        <f t="shared" si="59"/>
        <v>-5449.8499999999985</v>
      </c>
      <c r="M198" s="210">
        <f t="shared" si="48"/>
        <v>-273.70679042475234</v>
      </c>
      <c r="N198" s="211">
        <f t="shared" si="49"/>
        <v>-5723.5567904247509</v>
      </c>
      <c r="O198" s="210">
        <v>0</v>
      </c>
      <c r="P198" s="210">
        <v>0</v>
      </c>
      <c r="Q198" s="210">
        <v>0</v>
      </c>
      <c r="R198" s="211">
        <f t="shared" si="50"/>
        <v>-5723.5567904247509</v>
      </c>
    </row>
    <row r="199" spans="1:18" s="230" customFormat="1" x14ac:dyDescent="0.25">
      <c r="A199" s="163">
        <v>12</v>
      </c>
      <c r="B199" s="228">
        <f t="shared" si="46"/>
        <v>43800</v>
      </c>
      <c r="C199" s="226">
        <f t="shared" si="58"/>
        <v>43833</v>
      </c>
      <c r="D199" s="226">
        <f t="shared" si="58"/>
        <v>43850</v>
      </c>
      <c r="E199" s="229" t="s">
        <v>57</v>
      </c>
      <c r="F199" s="174">
        <v>9</v>
      </c>
      <c r="G199" s="217">
        <v>35</v>
      </c>
      <c r="H199" s="206">
        <f t="shared" si="44"/>
        <v>1696.78</v>
      </c>
      <c r="I199" s="218">
        <f t="shared" si="57"/>
        <v>1541.07</v>
      </c>
      <c r="J199" s="219">
        <f t="shared" si="47"/>
        <v>53937.45</v>
      </c>
      <c r="K199" s="220">
        <f t="shared" si="60"/>
        <v>59387.299999999996</v>
      </c>
      <c r="L199" s="221">
        <f t="shared" si="59"/>
        <v>-5449.8499999999985</v>
      </c>
      <c r="M199" s="210">
        <f t="shared" si="48"/>
        <v>-273.70679042475234</v>
      </c>
      <c r="N199" s="211">
        <f t="shared" si="49"/>
        <v>-5723.5567904247509</v>
      </c>
      <c r="O199" s="210">
        <v>0</v>
      </c>
      <c r="P199" s="210">
        <v>0</v>
      </c>
      <c r="Q199" s="210">
        <v>0</v>
      </c>
      <c r="R199" s="211">
        <f t="shared" si="50"/>
        <v>-5723.5567904247509</v>
      </c>
    </row>
    <row r="200" spans="1:18" x14ac:dyDescent="0.25">
      <c r="A200" s="125">
        <v>1</v>
      </c>
      <c r="B200" s="202">
        <f t="shared" si="46"/>
        <v>43466</v>
      </c>
      <c r="C200" s="223">
        <f t="shared" si="58"/>
        <v>43501</v>
      </c>
      <c r="D200" s="223">
        <f t="shared" si="58"/>
        <v>43516</v>
      </c>
      <c r="E200" s="204" t="s">
        <v>17</v>
      </c>
      <c r="F200" s="125">
        <v>9</v>
      </c>
      <c r="G200" s="205">
        <v>104</v>
      </c>
      <c r="H200" s="206">
        <f t="shared" si="44"/>
        <v>1696.78</v>
      </c>
      <c r="I200" s="206">
        <f t="shared" si="57"/>
        <v>1541.07</v>
      </c>
      <c r="J200" s="207">
        <f t="shared" si="47"/>
        <v>160271.28</v>
      </c>
      <c r="K200" s="208">
        <f t="shared" si="60"/>
        <v>176465.12</v>
      </c>
      <c r="L200" s="209">
        <f t="shared" si="59"/>
        <v>-16193.839999999997</v>
      </c>
      <c r="M200" s="210">
        <f t="shared" si="48"/>
        <v>-813.30017726212122</v>
      </c>
      <c r="N200" s="211">
        <f t="shared" si="49"/>
        <v>-17007.140177262118</v>
      </c>
      <c r="O200" s="210">
        <v>0</v>
      </c>
      <c r="P200" s="210">
        <v>0</v>
      </c>
      <c r="Q200" s="210">
        <v>0</v>
      </c>
      <c r="R200" s="211">
        <f t="shared" si="50"/>
        <v>-17007.140177262118</v>
      </c>
    </row>
    <row r="201" spans="1:18" x14ac:dyDescent="0.25">
      <c r="A201" s="163">
        <v>2</v>
      </c>
      <c r="B201" s="202">
        <f t="shared" si="46"/>
        <v>43497</v>
      </c>
      <c r="C201" s="226">
        <f t="shared" si="58"/>
        <v>43529</v>
      </c>
      <c r="D201" s="226">
        <f t="shared" si="58"/>
        <v>43544</v>
      </c>
      <c r="E201" s="212" t="s">
        <v>17</v>
      </c>
      <c r="F201" s="163">
        <v>9</v>
      </c>
      <c r="G201" s="205">
        <v>103</v>
      </c>
      <c r="H201" s="206">
        <f t="shared" si="44"/>
        <v>1696.78</v>
      </c>
      <c r="I201" s="206">
        <f t="shared" si="57"/>
        <v>1541.07</v>
      </c>
      <c r="J201" s="207">
        <f t="shared" si="47"/>
        <v>158730.21</v>
      </c>
      <c r="K201" s="208">
        <f t="shared" si="60"/>
        <v>174768.34</v>
      </c>
      <c r="L201" s="209">
        <f t="shared" si="59"/>
        <v>-16038.130000000005</v>
      </c>
      <c r="M201" s="210">
        <f t="shared" si="48"/>
        <v>-805.47998324998548</v>
      </c>
      <c r="N201" s="211">
        <f t="shared" si="49"/>
        <v>-16843.609983249989</v>
      </c>
      <c r="O201" s="210">
        <v>0</v>
      </c>
      <c r="P201" s="210">
        <v>0</v>
      </c>
      <c r="Q201" s="210">
        <v>0</v>
      </c>
      <c r="R201" s="211">
        <f t="shared" si="50"/>
        <v>-16843.609983249989</v>
      </c>
    </row>
    <row r="202" spans="1:18" x14ac:dyDescent="0.25">
      <c r="A202" s="163">
        <v>3</v>
      </c>
      <c r="B202" s="202">
        <f t="shared" si="46"/>
        <v>43525</v>
      </c>
      <c r="C202" s="226">
        <f t="shared" si="58"/>
        <v>43558</v>
      </c>
      <c r="D202" s="226">
        <f t="shared" si="58"/>
        <v>43573</v>
      </c>
      <c r="E202" s="212" t="s">
        <v>17</v>
      </c>
      <c r="F202" s="163">
        <v>9</v>
      </c>
      <c r="G202" s="205">
        <v>105</v>
      </c>
      <c r="H202" s="206">
        <f t="shared" si="44"/>
        <v>1696.78</v>
      </c>
      <c r="I202" s="206">
        <f t="shared" si="57"/>
        <v>1541.07</v>
      </c>
      <c r="J202" s="207">
        <f t="shared" si="47"/>
        <v>161812.35</v>
      </c>
      <c r="K202" s="208">
        <f t="shared" si="60"/>
        <v>178161.9</v>
      </c>
      <c r="L202" s="209">
        <f>+J202-K202</f>
        <v>-16349.549999999988</v>
      </c>
      <c r="M202" s="210">
        <f t="shared" si="48"/>
        <v>-821.12037127425697</v>
      </c>
      <c r="N202" s="211">
        <f t="shared" si="49"/>
        <v>-17170.670371274246</v>
      </c>
      <c r="O202" s="210">
        <v>0</v>
      </c>
      <c r="P202" s="210">
        <v>0</v>
      </c>
      <c r="Q202" s="210">
        <v>0</v>
      </c>
      <c r="R202" s="211">
        <f t="shared" si="50"/>
        <v>-17170.670371274246</v>
      </c>
    </row>
    <row r="203" spans="1:18" x14ac:dyDescent="0.25">
      <c r="A203" s="125">
        <v>4</v>
      </c>
      <c r="B203" s="202">
        <f t="shared" si="46"/>
        <v>43556</v>
      </c>
      <c r="C203" s="226">
        <f t="shared" si="58"/>
        <v>43588</v>
      </c>
      <c r="D203" s="226">
        <f t="shared" si="58"/>
        <v>43605</v>
      </c>
      <c r="E203" s="212" t="s">
        <v>17</v>
      </c>
      <c r="F203" s="163">
        <v>9</v>
      </c>
      <c r="G203" s="205">
        <v>104</v>
      </c>
      <c r="H203" s="206">
        <f t="shared" si="44"/>
        <v>1696.78</v>
      </c>
      <c r="I203" s="206">
        <f t="shared" si="57"/>
        <v>1541.07</v>
      </c>
      <c r="J203" s="207">
        <f t="shared" si="47"/>
        <v>160271.28</v>
      </c>
      <c r="K203" s="208">
        <f t="shared" si="60"/>
        <v>176465.12</v>
      </c>
      <c r="L203" s="209">
        <f t="shared" ref="L203:L211" si="61">+J203-K203</f>
        <v>-16193.839999999997</v>
      </c>
      <c r="M203" s="210">
        <f t="shared" si="48"/>
        <v>-813.30017726212122</v>
      </c>
      <c r="N203" s="211">
        <f t="shared" si="49"/>
        <v>-17007.140177262118</v>
      </c>
      <c r="O203" s="210">
        <v>0</v>
      </c>
      <c r="P203" s="210">
        <v>0</v>
      </c>
      <c r="Q203" s="210">
        <v>0</v>
      </c>
      <c r="R203" s="211">
        <f t="shared" si="50"/>
        <v>-17007.140177262118</v>
      </c>
    </row>
    <row r="204" spans="1:18" x14ac:dyDescent="0.25">
      <c r="A204" s="163">
        <v>5</v>
      </c>
      <c r="B204" s="202">
        <f t="shared" si="46"/>
        <v>43586</v>
      </c>
      <c r="C204" s="226">
        <f t="shared" si="58"/>
        <v>43621</v>
      </c>
      <c r="D204" s="226">
        <f t="shared" si="58"/>
        <v>43636</v>
      </c>
      <c r="E204" s="54" t="s">
        <v>17</v>
      </c>
      <c r="F204" s="163">
        <v>9</v>
      </c>
      <c r="G204" s="205">
        <v>106</v>
      </c>
      <c r="H204" s="206">
        <f t="shared" si="44"/>
        <v>1696.78</v>
      </c>
      <c r="I204" s="206">
        <f t="shared" si="57"/>
        <v>1541.07</v>
      </c>
      <c r="J204" s="207">
        <f t="shared" si="47"/>
        <v>163353.41999999998</v>
      </c>
      <c r="K204" s="208">
        <f t="shared" si="60"/>
        <v>179858.68</v>
      </c>
      <c r="L204" s="209">
        <f t="shared" si="61"/>
        <v>-16505.260000000009</v>
      </c>
      <c r="M204" s="210">
        <f t="shared" si="48"/>
        <v>-828.94056528639283</v>
      </c>
      <c r="N204" s="211">
        <f t="shared" si="49"/>
        <v>-17334.200565286403</v>
      </c>
      <c r="O204" s="210">
        <v>0</v>
      </c>
      <c r="P204" s="210">
        <v>0</v>
      </c>
      <c r="Q204" s="210">
        <v>0</v>
      </c>
      <c r="R204" s="211">
        <f t="shared" si="50"/>
        <v>-17334.200565286403</v>
      </c>
    </row>
    <row r="205" spans="1:18" x14ac:dyDescent="0.25">
      <c r="A205" s="163">
        <v>6</v>
      </c>
      <c r="B205" s="202">
        <f t="shared" si="46"/>
        <v>43617</v>
      </c>
      <c r="C205" s="226">
        <f t="shared" si="58"/>
        <v>43649</v>
      </c>
      <c r="D205" s="226">
        <f t="shared" si="58"/>
        <v>43664</v>
      </c>
      <c r="E205" s="54" t="s">
        <v>17</v>
      </c>
      <c r="F205" s="163">
        <v>9</v>
      </c>
      <c r="G205" s="205">
        <v>100</v>
      </c>
      <c r="H205" s="206">
        <f t="shared" si="44"/>
        <v>1696.78</v>
      </c>
      <c r="I205" s="206">
        <f t="shared" si="57"/>
        <v>1541.07</v>
      </c>
      <c r="J205" s="207">
        <f t="shared" si="47"/>
        <v>154107</v>
      </c>
      <c r="K205" s="208">
        <f t="shared" si="60"/>
        <v>169678</v>
      </c>
      <c r="L205" s="213">
        <f t="shared" si="61"/>
        <v>-15571</v>
      </c>
      <c r="M205" s="210">
        <f t="shared" si="48"/>
        <v>-782.01940121357813</v>
      </c>
      <c r="N205" s="211">
        <f t="shared" si="49"/>
        <v>-16353.019401213578</v>
      </c>
      <c r="O205" s="210">
        <v>0</v>
      </c>
      <c r="P205" s="210">
        <v>0</v>
      </c>
      <c r="Q205" s="210">
        <v>0</v>
      </c>
      <c r="R205" s="211">
        <f t="shared" si="50"/>
        <v>-16353.019401213578</v>
      </c>
    </row>
    <row r="206" spans="1:18" x14ac:dyDescent="0.25">
      <c r="A206" s="125">
        <v>7</v>
      </c>
      <c r="B206" s="202">
        <f t="shared" si="46"/>
        <v>43647</v>
      </c>
      <c r="C206" s="226">
        <f t="shared" si="58"/>
        <v>43682</v>
      </c>
      <c r="D206" s="226">
        <f t="shared" si="58"/>
        <v>43697</v>
      </c>
      <c r="E206" s="54" t="s">
        <v>17</v>
      </c>
      <c r="F206" s="163">
        <v>9</v>
      </c>
      <c r="G206" s="205">
        <v>117</v>
      </c>
      <c r="H206" s="206">
        <f t="shared" si="44"/>
        <v>1696.78</v>
      </c>
      <c r="I206" s="206">
        <f t="shared" si="57"/>
        <v>1541.07</v>
      </c>
      <c r="J206" s="207">
        <f t="shared" si="47"/>
        <v>180305.19</v>
      </c>
      <c r="K206" s="214">
        <f t="shared" si="60"/>
        <v>198523.26</v>
      </c>
      <c r="L206" s="213">
        <f t="shared" si="61"/>
        <v>-18218.070000000007</v>
      </c>
      <c r="M206" s="210">
        <f t="shared" si="48"/>
        <v>-914.96269941988635</v>
      </c>
      <c r="N206" s="211">
        <f t="shared" si="49"/>
        <v>-19133.032699419895</v>
      </c>
      <c r="O206" s="210">
        <v>0</v>
      </c>
      <c r="P206" s="210">
        <v>0</v>
      </c>
      <c r="Q206" s="210">
        <v>0</v>
      </c>
      <c r="R206" s="211">
        <f t="shared" si="50"/>
        <v>-19133.032699419895</v>
      </c>
    </row>
    <row r="207" spans="1:18" x14ac:dyDescent="0.25">
      <c r="A207" s="163">
        <v>8</v>
      </c>
      <c r="B207" s="202">
        <f t="shared" si="46"/>
        <v>43678</v>
      </c>
      <c r="C207" s="226">
        <f t="shared" si="58"/>
        <v>43712</v>
      </c>
      <c r="D207" s="226">
        <f t="shared" si="58"/>
        <v>43727</v>
      </c>
      <c r="E207" s="54" t="s">
        <v>17</v>
      </c>
      <c r="F207" s="163">
        <v>9</v>
      </c>
      <c r="G207" s="205">
        <v>116</v>
      </c>
      <c r="H207" s="206">
        <f t="shared" si="44"/>
        <v>1696.78</v>
      </c>
      <c r="I207" s="206">
        <f t="shared" si="57"/>
        <v>1541.07</v>
      </c>
      <c r="J207" s="207">
        <f t="shared" si="47"/>
        <v>178764.12</v>
      </c>
      <c r="K207" s="214">
        <f t="shared" si="60"/>
        <v>196826.48</v>
      </c>
      <c r="L207" s="213">
        <f t="shared" si="61"/>
        <v>-18062.360000000015</v>
      </c>
      <c r="M207" s="210">
        <f t="shared" si="48"/>
        <v>-907.14250540775072</v>
      </c>
      <c r="N207" s="211">
        <f t="shared" si="49"/>
        <v>-18969.502505407767</v>
      </c>
      <c r="O207" s="210">
        <v>0</v>
      </c>
      <c r="P207" s="210">
        <v>0</v>
      </c>
      <c r="Q207" s="210">
        <v>0</v>
      </c>
      <c r="R207" s="211">
        <f t="shared" si="50"/>
        <v>-18969.502505407767</v>
      </c>
    </row>
    <row r="208" spans="1:18" x14ac:dyDescent="0.25">
      <c r="A208" s="163">
        <v>9</v>
      </c>
      <c r="B208" s="202">
        <f t="shared" si="46"/>
        <v>43709</v>
      </c>
      <c r="C208" s="226">
        <f t="shared" si="58"/>
        <v>43741</v>
      </c>
      <c r="D208" s="226">
        <f t="shared" si="58"/>
        <v>43756</v>
      </c>
      <c r="E208" s="54" t="s">
        <v>17</v>
      </c>
      <c r="F208" s="163">
        <v>9</v>
      </c>
      <c r="G208" s="205">
        <v>113</v>
      </c>
      <c r="H208" s="206">
        <f t="shared" si="44"/>
        <v>1696.78</v>
      </c>
      <c r="I208" s="206">
        <f t="shared" si="57"/>
        <v>1541.07</v>
      </c>
      <c r="J208" s="207">
        <f t="shared" si="47"/>
        <v>174140.91</v>
      </c>
      <c r="K208" s="214">
        <f t="shared" si="60"/>
        <v>191736.13999999998</v>
      </c>
      <c r="L208" s="213">
        <f t="shared" si="61"/>
        <v>-17595.229999999981</v>
      </c>
      <c r="M208" s="210">
        <f t="shared" si="48"/>
        <v>-883.68192337134326</v>
      </c>
      <c r="N208" s="211">
        <f t="shared" si="49"/>
        <v>-18478.911923371325</v>
      </c>
      <c r="O208" s="210">
        <v>0</v>
      </c>
      <c r="P208" s="210">
        <v>0</v>
      </c>
      <c r="Q208" s="210">
        <v>0</v>
      </c>
      <c r="R208" s="211">
        <f t="shared" si="50"/>
        <v>-18478.911923371325</v>
      </c>
    </row>
    <row r="209" spans="1:18" x14ac:dyDescent="0.25">
      <c r="A209" s="125">
        <v>10</v>
      </c>
      <c r="B209" s="202">
        <f t="shared" si="46"/>
        <v>43739</v>
      </c>
      <c r="C209" s="226">
        <f t="shared" si="58"/>
        <v>43774</v>
      </c>
      <c r="D209" s="226">
        <f t="shared" si="58"/>
        <v>43789</v>
      </c>
      <c r="E209" s="54" t="s">
        <v>17</v>
      </c>
      <c r="F209" s="163">
        <v>9</v>
      </c>
      <c r="G209" s="205">
        <v>113</v>
      </c>
      <c r="H209" s="206">
        <f t="shared" si="44"/>
        <v>1696.78</v>
      </c>
      <c r="I209" s="206">
        <f t="shared" si="57"/>
        <v>1541.07</v>
      </c>
      <c r="J209" s="207">
        <f t="shared" si="47"/>
        <v>174140.91</v>
      </c>
      <c r="K209" s="214">
        <f t="shared" si="60"/>
        <v>191736.13999999998</v>
      </c>
      <c r="L209" s="213">
        <f t="shared" si="61"/>
        <v>-17595.229999999981</v>
      </c>
      <c r="M209" s="210">
        <f t="shared" si="48"/>
        <v>-883.68192337134326</v>
      </c>
      <c r="N209" s="211">
        <f t="shared" si="49"/>
        <v>-18478.911923371325</v>
      </c>
      <c r="O209" s="210">
        <v>0</v>
      </c>
      <c r="P209" s="210">
        <v>0</v>
      </c>
      <c r="Q209" s="210">
        <v>0</v>
      </c>
      <c r="R209" s="211">
        <f t="shared" si="50"/>
        <v>-18478.911923371325</v>
      </c>
    </row>
    <row r="210" spans="1:18" x14ac:dyDescent="0.25">
      <c r="A210" s="163">
        <v>11</v>
      </c>
      <c r="B210" s="202">
        <f t="shared" si="46"/>
        <v>43770</v>
      </c>
      <c r="C210" s="226">
        <f t="shared" si="58"/>
        <v>43803</v>
      </c>
      <c r="D210" s="226">
        <f t="shared" si="58"/>
        <v>43818</v>
      </c>
      <c r="E210" s="54" t="s">
        <v>17</v>
      </c>
      <c r="F210" s="163">
        <v>9</v>
      </c>
      <c r="G210" s="205">
        <v>104</v>
      </c>
      <c r="H210" s="206">
        <f t="shared" si="44"/>
        <v>1696.78</v>
      </c>
      <c r="I210" s="206">
        <f t="shared" si="57"/>
        <v>1541.07</v>
      </c>
      <c r="J210" s="207">
        <f t="shared" si="47"/>
        <v>160271.28</v>
      </c>
      <c r="K210" s="214">
        <f>+$G210*H210</f>
        <v>176465.12</v>
      </c>
      <c r="L210" s="213">
        <f t="shared" si="61"/>
        <v>-16193.839999999997</v>
      </c>
      <c r="M210" s="210">
        <f t="shared" si="48"/>
        <v>-813.30017726212122</v>
      </c>
      <c r="N210" s="211">
        <f t="shared" si="49"/>
        <v>-17007.140177262118</v>
      </c>
      <c r="O210" s="210">
        <v>0</v>
      </c>
      <c r="P210" s="210">
        <v>0</v>
      </c>
      <c r="Q210" s="210">
        <v>0</v>
      </c>
      <c r="R210" s="211">
        <f t="shared" si="50"/>
        <v>-17007.140177262118</v>
      </c>
    </row>
    <row r="211" spans="1:18" s="230" customFormat="1" x14ac:dyDescent="0.25">
      <c r="A211" s="163">
        <v>12</v>
      </c>
      <c r="B211" s="228">
        <f t="shared" si="46"/>
        <v>43800</v>
      </c>
      <c r="C211" s="231">
        <f t="shared" si="58"/>
        <v>43833</v>
      </c>
      <c r="D211" s="231">
        <f t="shared" si="58"/>
        <v>43850</v>
      </c>
      <c r="E211" s="229" t="s">
        <v>17</v>
      </c>
      <c r="F211" s="174">
        <v>9</v>
      </c>
      <c r="G211" s="217">
        <v>41</v>
      </c>
      <c r="H211" s="206">
        <f t="shared" si="44"/>
        <v>1696.78</v>
      </c>
      <c r="I211" s="218">
        <f t="shared" si="57"/>
        <v>1541.07</v>
      </c>
      <c r="J211" s="219">
        <f t="shared" si="47"/>
        <v>63183.869999999995</v>
      </c>
      <c r="K211" s="220">
        <f>+$G211*H211</f>
        <v>69567.98</v>
      </c>
      <c r="L211" s="221">
        <f t="shared" si="61"/>
        <v>-6384.1100000000006</v>
      </c>
      <c r="M211" s="219">
        <f t="shared" si="48"/>
        <v>-320.62795449756703</v>
      </c>
      <c r="N211" s="211">
        <f t="shared" si="49"/>
        <v>-6704.7379544975674</v>
      </c>
      <c r="O211" s="210">
        <v>0</v>
      </c>
      <c r="P211" s="210">
        <v>0</v>
      </c>
      <c r="Q211" s="210">
        <v>0</v>
      </c>
      <c r="R211" s="211">
        <f t="shared" si="50"/>
        <v>-6704.7379544975674</v>
      </c>
    </row>
    <row r="212" spans="1:18" x14ac:dyDescent="0.25">
      <c r="G212" s="236">
        <f>SUM(G20:G211)</f>
        <v>103218.117</v>
      </c>
      <c r="H212" s="51"/>
      <c r="I212" s="51"/>
      <c r="J212" s="51">
        <f>SUM(J20:J211)</f>
        <v>159066343.5651899</v>
      </c>
      <c r="K212" s="51">
        <f>SUM(K20:K211)</f>
        <v>175138436.56325987</v>
      </c>
      <c r="L212" s="51">
        <f>SUM(L20:L211)</f>
        <v>-16072092.998070011</v>
      </c>
      <c r="M212" s="51">
        <f>SUM(M20:M211)</f>
        <v>-807185.70050733199</v>
      </c>
      <c r="N212" s="51"/>
      <c r="O212" s="51"/>
      <c r="P212" s="51">
        <f>SUM(P20:P211)</f>
        <v>0</v>
      </c>
      <c r="Q212" s="51"/>
      <c r="R212" s="237">
        <f>SUM(R20:R211)</f>
        <v>-16879278.698577326</v>
      </c>
    </row>
    <row r="213" spans="1:18" x14ac:dyDescent="0.25">
      <c r="P213" s="51"/>
      <c r="Q213" s="51"/>
    </row>
    <row r="220" spans="1:18" x14ac:dyDescent="0.25">
      <c r="D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</sheetData>
  <mergeCells count="4">
    <mergeCell ref="G2:H2"/>
    <mergeCell ref="G3:H3"/>
    <mergeCell ref="G7:H7"/>
    <mergeCell ref="G8:H8"/>
  </mergeCells>
  <phoneticPr fontId="0" type="noConversion"/>
  <pageMargins left="0.5" right="0.5" top="1.05" bottom="1" header="0.31" footer="0.5"/>
  <pageSetup scale="91" fitToWidth="2" fitToHeight="0" orientation="landscape" cellComments="asDisplayed" r:id="rId1"/>
  <headerFooter alignWithMargins="0">
    <oddHeader>&amp;R&amp;F  &amp;A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autoSelectedSuggestion">
  <element uid="50c31824-0780-4910-87d1-eaaffd182d42" value=""/>
  <element uid="c64218ab-b8d1-40b6-a478-cb8be1e10ecc" value=""/>
</sisl>
</file>

<file path=customXml/itemProps1.xml><?xml version="1.0" encoding="utf-8"?>
<ds:datastoreItem xmlns:ds="http://schemas.openxmlformats.org/officeDocument/2006/customXml" ds:itemID="{89D19C13-331F-4E82-968D-DF5AB1209CC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Instructions</vt:lpstr>
      <vt:lpstr>Summary</vt:lpstr>
      <vt:lpstr>Pivot</vt:lpstr>
      <vt:lpstr>Transactions</vt:lpstr>
      <vt:lpstr>Transactions!AS1_1999</vt:lpstr>
      <vt:lpstr>Summary!Print_Area</vt:lpstr>
      <vt:lpstr>Transactions!Print_Area</vt:lpstr>
      <vt:lpstr>Pivot!Print_Titles</vt:lpstr>
      <vt:lpstr>Transactions!Print_Titles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Williamson</dc:creator>
  <cp:keywords/>
  <cp:lastModifiedBy>s177040</cp:lastModifiedBy>
  <cp:lastPrinted>2018-05-15T12:29:53Z</cp:lastPrinted>
  <dcterms:created xsi:type="dcterms:W3CDTF">2009-09-04T18:19:13Z</dcterms:created>
  <dcterms:modified xsi:type="dcterms:W3CDTF">2020-05-26T18:26:50Z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2acfcf31-dd2d-4375-8e33-fce169956290</vt:lpwstr>
  </property>
  <property fmtid="{D5CDD505-2E9C-101B-9397-08002B2CF9AE}" pid="3" name="bjSaver">
    <vt:lpwstr>clRxCTTKA7z930TtRLwKph96GxWYXtbn</vt:lpwstr>
  </property>
  <property fmtid="{D5CDD505-2E9C-101B-9397-08002B2CF9AE}" pid="4" name="bjDocumentSecurityLabel">
    <vt:lpwstr>AEP Internal</vt:lpwstr>
  </property>
  <property fmtid="{D5CDD505-2E9C-101B-9397-08002B2CF9AE}" pid="5" name="Visual Markings Removed">
    <vt:lpwstr>No</vt:lpwstr>
  </property>
  <property fmtid="{D5CDD505-2E9C-101B-9397-08002B2CF9AE}" pid="6" name="bjDocumentLabelXML">
    <vt:lpwstr>&lt;?xml version="1.0" encoding="us-ascii"?&gt;&lt;sisl xmlns:xsi="http://www.w3.org/2001/XMLSchema-instance" xmlns:xsd="http://www.w3.org/2001/XMLSchema" sislVersion="0" policy="e9c0b8d7-bdb4-4fd3-b62a-f50327aaefce" origin="autoSelectedSuggestion" xmlns="http://w</vt:lpwstr>
  </property>
  <property fmtid="{D5CDD505-2E9C-101B-9397-08002B2CF9AE}" pid="7" name="bjDocumentLabelXML-0">
    <vt:lpwstr>ww.boldonjames.com/2008/01/sie/internal/label"&gt;&lt;element uid="50c31824-0780-4910-87d1-eaaffd182d42" value="" /&gt;&lt;element uid="c64218ab-b8d1-40b6-a478-cb8be1e10ecc" value="" /&gt;&lt;/sisl&gt;</vt:lpwstr>
  </property>
</Properties>
</file>